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T:\rvo\kai\Informatieproducten\Opdrachten 2025\Opmaak PDF\Energie Innovatie (DEI+)\"/>
    </mc:Choice>
  </mc:AlternateContent>
  <xr:revisionPtr revIDLastSave="0" documentId="8_{D21E2ADA-1E86-40A0-A739-E89573141230}" xr6:coauthVersionLast="47" xr6:coauthVersionMax="47" xr10:uidLastSave="{00000000-0000-0000-0000-000000000000}"/>
  <workbookProtection workbookAlgorithmName="SHA-512" workbookHashValue="op2pPsgdznAlStReH719yKoKQUdMxXdpW1th/q0NNrTGYMTqN7JytMJyMVLUI6W+u6xFRUb57Cjd/AYtZOhyvg==" workbookSaltValue="Ep+uhZMLlalwy38C4wAa7g==" workbookSpinCount="100000" lockStructure="1"/>
  <bookViews>
    <workbookView xWindow="-120" yWindow="-120" windowWidth="29040" windowHeight="15840" tabRatio="731" firstSheet="2" activeTab="2" xr2:uid="{7238A4A3-3E41-4D9E-B620-B517A45EB873}"/>
  </bookViews>
  <sheets>
    <sheet name="Versie" sheetId="1" state="hidden" r:id="rId1"/>
    <sheet name="Datasheet" sheetId="2" state="hidden" r:id="rId2"/>
    <sheet name="Toelichting" sheetId="3" r:id="rId3"/>
    <sheet name="Energie , overige thema's" sheetId="4" r:id="rId4"/>
    <sheet name="CCS en Negatieve Emissies" sheetId="7" r:id="rId5"/>
    <sheet name="CCU" sheetId="8" r:id="rId6"/>
    <sheet name="Circulaire Economie" sheetId="6" r:id="rId7"/>
    <sheet name="Bronnen circulaire economie" sheetId="9" r:id="rId8"/>
    <sheet name="CO2 emissiefactoren 2022" sheetId="5" state="hidden" r:id="rId9"/>
  </sheets>
  <definedNames>
    <definedName name="_xlnm.Print_Area" localSheetId="6">'Circulaire Economie'!$A$1:$O$105</definedName>
  </definedNames>
  <calcPr calcId="191029"/>
  <customWorkbookViews>
    <customWorkbookView name="Berka, J.P.A. MSc (Jirka) - Persoonlijke weergave" guid="{468B9859-406B-47B7-B856-34BDC1863CB4}" mergeInterval="0" personalView="1" windowWidth="1720" windowHeight="141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7" l="1"/>
  <c r="B45" i="4"/>
  <c r="C32" i="4"/>
  <c r="C35" i="4"/>
  <c r="M88" i="6"/>
  <c r="M87" i="6"/>
  <c r="M86" i="6"/>
  <c r="M85" i="6"/>
  <c r="M84" i="6"/>
  <c r="M83" i="6"/>
  <c r="M82" i="6"/>
  <c r="M81" i="6"/>
  <c r="M80" i="6"/>
  <c r="M73" i="6"/>
  <c r="M72" i="6"/>
  <c r="M71" i="6"/>
  <c r="M70" i="6"/>
  <c r="M69" i="6"/>
  <c r="M68" i="6"/>
  <c r="M67" i="6"/>
  <c r="M66" i="6"/>
  <c r="M65" i="6"/>
  <c r="M58" i="6"/>
  <c r="M57" i="6"/>
  <c r="M56" i="6"/>
  <c r="M55" i="6"/>
  <c r="M54" i="6"/>
  <c r="M53" i="6"/>
  <c r="M52" i="6"/>
  <c r="M51" i="6"/>
  <c r="M43" i="6"/>
  <c r="M42" i="6"/>
  <c r="M41" i="6"/>
  <c r="M40" i="6"/>
  <c r="M39" i="6"/>
  <c r="M38" i="6"/>
  <c r="M37" i="6"/>
  <c r="M36" i="6"/>
  <c r="M36" i="8"/>
  <c r="M35" i="8"/>
  <c r="M34" i="8"/>
  <c r="M33" i="8"/>
  <c r="M30" i="8"/>
  <c r="M31" i="8"/>
  <c r="M32" i="8"/>
  <c r="K19" i="6"/>
  <c r="K21" i="6"/>
  <c r="E16" i="6"/>
  <c r="K14" i="8"/>
  <c r="K12" i="8"/>
  <c r="E17" i="7"/>
  <c r="K22" i="7"/>
  <c r="K20" i="7"/>
  <c r="K13" i="4"/>
  <c r="K11" i="4"/>
  <c r="E8" i="4"/>
  <c r="E26" i="4"/>
  <c r="E27" i="4"/>
  <c r="E9" i="8"/>
  <c r="D16" i="7"/>
  <c r="D17" i="7"/>
  <c r="D18" i="7"/>
  <c r="D20" i="7"/>
  <c r="D22" i="7"/>
  <c r="D24" i="7"/>
  <c r="M39" i="2"/>
  <c r="L41" i="2"/>
  <c r="L39" i="2"/>
  <c r="M33" i="2"/>
  <c r="B53" i="8"/>
  <c r="B52" i="7"/>
  <c r="B108" i="6"/>
  <c r="M27" i="2"/>
  <c r="K36" i="8"/>
  <c r="K35" i="8"/>
  <c r="K34" i="8"/>
  <c r="K33" i="8"/>
  <c r="K32" i="8"/>
  <c r="K31" i="8"/>
  <c r="K30" i="8"/>
  <c r="K29" i="8"/>
  <c r="M29" i="8" s="1"/>
  <c r="K28" i="8"/>
  <c r="M28" i="8" s="1"/>
  <c r="K27" i="8"/>
  <c r="B47" i="8"/>
  <c r="K21" i="8"/>
  <c r="E21" i="8"/>
  <c r="K18" i="8"/>
  <c r="M18" i="8" s="1"/>
  <c r="K16" i="8"/>
  <c r="E16" i="8"/>
  <c r="D16" i="8"/>
  <c r="E14" i="8"/>
  <c r="M14" i="8" s="1"/>
  <c r="D14" i="8"/>
  <c r="E12" i="8"/>
  <c r="M12" i="8" s="1"/>
  <c r="D12" i="8"/>
  <c r="K10" i="8"/>
  <c r="E10" i="8"/>
  <c r="D10" i="8"/>
  <c r="K9" i="8"/>
  <c r="M9" i="8" s="1"/>
  <c r="D9" i="8"/>
  <c r="K8" i="8"/>
  <c r="E8" i="8"/>
  <c r="D8" i="8"/>
  <c r="C4" i="8"/>
  <c r="K11" i="7"/>
  <c r="M11" i="7" s="1"/>
  <c r="C41" i="7" s="1"/>
  <c r="K9" i="7"/>
  <c r="M9" i="7" s="1"/>
  <c r="K8" i="7"/>
  <c r="K29" i="7"/>
  <c r="E29" i="7"/>
  <c r="K26" i="7"/>
  <c r="M26" i="7" s="1"/>
  <c r="K24" i="7"/>
  <c r="E24" i="7"/>
  <c r="E22" i="7"/>
  <c r="M22" i="7" s="1"/>
  <c r="E20" i="7"/>
  <c r="M20" i="7" s="1"/>
  <c r="K18" i="7"/>
  <c r="E18" i="7"/>
  <c r="K17" i="7"/>
  <c r="M17" i="7" s="1"/>
  <c r="K16" i="7"/>
  <c r="E16" i="7"/>
  <c r="C4" i="7"/>
  <c r="K80" i="6"/>
  <c r="K81" i="6"/>
  <c r="K82" i="6"/>
  <c r="K83" i="6"/>
  <c r="K84" i="6"/>
  <c r="K85" i="6"/>
  <c r="K86" i="6"/>
  <c r="K87" i="6"/>
  <c r="K88" i="6"/>
  <c r="K79" i="6"/>
  <c r="K65" i="6"/>
  <c r="K66" i="6"/>
  <c r="K67" i="6"/>
  <c r="K68" i="6"/>
  <c r="K69" i="6"/>
  <c r="K70" i="6"/>
  <c r="K71" i="6"/>
  <c r="K72" i="6"/>
  <c r="K73" i="6"/>
  <c r="K64" i="6"/>
  <c r="K50" i="6"/>
  <c r="M50" i="6" s="1"/>
  <c r="K51" i="6"/>
  <c r="K52" i="6"/>
  <c r="K53" i="6"/>
  <c r="K54" i="6"/>
  <c r="K55" i="6"/>
  <c r="K56" i="6"/>
  <c r="K57" i="6"/>
  <c r="K58" i="6"/>
  <c r="K49" i="6"/>
  <c r="K35" i="6"/>
  <c r="M35" i="6" s="1"/>
  <c r="K36" i="6"/>
  <c r="K37" i="6"/>
  <c r="K38" i="6"/>
  <c r="K39" i="6"/>
  <c r="K40" i="6"/>
  <c r="K41" i="6"/>
  <c r="K42" i="6"/>
  <c r="K43" i="6"/>
  <c r="K34" i="6"/>
  <c r="M34" i="6" s="1"/>
  <c r="M45" i="6"/>
  <c r="C12" i="6"/>
  <c r="B101" i="6"/>
  <c r="K28" i="6"/>
  <c r="E28" i="6"/>
  <c r="K25" i="6"/>
  <c r="M25" i="6" s="1"/>
  <c r="K23" i="6"/>
  <c r="E23" i="6"/>
  <c r="D23" i="6"/>
  <c r="E21" i="6"/>
  <c r="M21" i="6" s="1"/>
  <c r="D21" i="6"/>
  <c r="E19" i="6"/>
  <c r="M19" i="6" s="1"/>
  <c r="D19" i="6"/>
  <c r="K17" i="6"/>
  <c r="E17" i="6"/>
  <c r="D17" i="6"/>
  <c r="K16" i="6"/>
  <c r="M16" i="6" s="1"/>
  <c r="D16" i="6"/>
  <c r="K15" i="6"/>
  <c r="E15" i="6"/>
  <c r="D15" i="6"/>
  <c r="C4" i="6"/>
  <c r="M79" i="6" l="1"/>
  <c r="M90" i="6" s="1"/>
  <c r="M64" i="6"/>
  <c r="M75" i="6" s="1"/>
  <c r="M49" i="6"/>
  <c r="M60" i="6" s="1"/>
  <c r="M27" i="8"/>
  <c r="M38" i="8" s="1"/>
  <c r="L33" i="2"/>
  <c r="L35" i="2"/>
  <c r="L29" i="2"/>
  <c r="L27" i="2"/>
  <c r="M8" i="8"/>
  <c r="M10" i="8"/>
  <c r="M16" i="8"/>
  <c r="M21" i="8"/>
  <c r="M8" i="7"/>
  <c r="M16" i="7"/>
  <c r="M18" i="7"/>
  <c r="M24" i="7"/>
  <c r="M29" i="7"/>
  <c r="M32" i="7" s="1"/>
  <c r="C42" i="7" s="1"/>
  <c r="M15" i="6"/>
  <c r="M17" i="6"/>
  <c r="M23" i="6"/>
  <c r="M28" i="6"/>
  <c r="M30" i="6" l="1"/>
  <c r="M94" i="6" s="1"/>
  <c r="M23" i="8"/>
  <c r="M40" i="8"/>
  <c r="C36" i="7"/>
  <c r="C37" i="7" s="1"/>
  <c r="B46" i="8"/>
  <c r="B45" i="7" l="1"/>
  <c r="B42" i="7"/>
  <c r="B37" i="7"/>
  <c r="E37" i="7" l="1"/>
  <c r="C43" i="7"/>
  <c r="C45" i="7" s="1"/>
  <c r="C48" i="7" s="1"/>
  <c r="C38" i="7"/>
  <c r="K30" i="4"/>
  <c r="M30" i="4" s="1"/>
  <c r="C4" i="4"/>
  <c r="K28" i="4"/>
  <c r="E28" i="4"/>
  <c r="D28" i="4"/>
  <c r="E11" i="4"/>
  <c r="D11" i="4"/>
  <c r="I34" i="4"/>
  <c r="M21" i="2"/>
  <c r="L23" i="2" s="1"/>
  <c r="L21" i="2"/>
  <c r="K27" i="4"/>
  <c r="K26" i="4"/>
  <c r="D27" i="4"/>
  <c r="D26" i="4"/>
  <c r="M28" i="4" l="1"/>
  <c r="M27" i="4"/>
  <c r="M26" i="4"/>
  <c r="E34" i="4"/>
  <c r="K34" i="4" l="1"/>
  <c r="M34" i="4" s="1"/>
  <c r="E7" i="4" l="1"/>
  <c r="K9" i="4"/>
  <c r="K8" i="4"/>
  <c r="D9" i="4"/>
  <c r="D8" i="4"/>
  <c r="D7" i="4"/>
  <c r="E9" i="4"/>
  <c r="M9" i="4" s="1"/>
  <c r="M8" i="4"/>
  <c r="H34" i="3"/>
  <c r="K20" i="4"/>
  <c r="M11" i="4"/>
  <c r="D15" i="4"/>
  <c r="D13" i="4"/>
  <c r="E20" i="4" l="1"/>
  <c r="E15" i="4"/>
  <c r="E13" i="4"/>
  <c r="K17" i="4"/>
  <c r="M17" i="4" s="1"/>
  <c r="K15" i="4"/>
  <c r="K7" i="4"/>
  <c r="L53" i="5"/>
  <c r="L47" i="5"/>
  <c r="L41" i="5"/>
  <c r="L40" i="5"/>
  <c r="M20" i="4" l="1"/>
  <c r="M15" i="4"/>
  <c r="M13" i="4"/>
  <c r="M7" i="4"/>
  <c r="M38" i="4" s="1"/>
  <c r="B44" i="4" s="1"/>
  <c r="C41" i="4" l="1"/>
  <c r="C42" i="4"/>
  <c r="C44" i="4" s="1"/>
  <c r="C47" i="4"/>
  <c r="B41" i="4"/>
  <c r="B43" i="8"/>
  <c r="C43" i="8"/>
  <c r="C44" i="8"/>
  <c r="C46" i="8"/>
  <c r="C49" i="8"/>
  <c r="B100" i="6"/>
  <c r="C97" i="6" l="1"/>
  <c r="C98" i="6" s="1"/>
  <c r="C100" i="6" s="1"/>
  <c r="C103" i="6" s="1"/>
  <c r="B97" i="6"/>
</calcChain>
</file>

<file path=xl/sharedStrings.xml><?xml version="1.0" encoding="utf-8"?>
<sst xmlns="http://schemas.openxmlformats.org/spreadsheetml/2006/main" count="1667" uniqueCount="610">
  <si>
    <t>CO2 reductie rekenmodel</t>
  </si>
  <si>
    <t>Versie</t>
  </si>
  <si>
    <t>Datum</t>
  </si>
  <si>
    <t>Dit Data sheet omvat de uitgangspunten, omrekeningsfactoren en procesdata</t>
  </si>
  <si>
    <t>CO2-emissiefactor referentieparkmethode2</t>
  </si>
  <si>
    <t>-</t>
  </si>
  <si>
    <t>kg CO2/kWh</t>
  </si>
  <si>
    <t>Categorie</t>
  </si>
  <si>
    <t>Eenheid</t>
  </si>
  <si>
    <t>Kg CO2/eenheid (WTW)</t>
  </si>
  <si>
    <t>Kg CO2/eenheid (TTW)</t>
  </si>
  <si>
    <t>Kg CO2/eenheid (WTT)</t>
  </si>
  <si>
    <t>Bron</t>
  </si>
  <si>
    <t>Toelichting</t>
  </si>
  <si>
    <t>Datum laatste wijziging</t>
  </si>
  <si>
    <r>
      <rPr>
        <b/>
        <sz val="9"/>
        <color theme="1"/>
        <rFont val="Verdana"/>
        <family val="2"/>
      </rPr>
      <t>CO</t>
    </r>
    <r>
      <rPr>
        <b/>
        <vertAlign val="subscript"/>
        <sz val="9"/>
        <color theme="1"/>
        <rFont val="Verdana"/>
        <family val="2"/>
      </rPr>
      <t>2</t>
    </r>
    <r>
      <rPr>
        <b/>
        <sz val="9"/>
        <color theme="1"/>
        <rFont val="Verdana"/>
        <family val="2"/>
      </rPr>
      <t>emissiefactoren 2022</t>
    </r>
    <r>
      <rPr>
        <sz val="11"/>
        <color theme="1"/>
        <rFont val="Calibri"/>
        <family val="2"/>
        <scheme val="minor"/>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</si>
  <si>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Brandstoffen voertuigen en schepen</t>
  </si>
  <si>
    <t>Benzine (E10, 2020 blend)</t>
  </si>
  <si>
    <t>liter</t>
  </si>
  <si>
    <t>[33]</t>
  </si>
  <si>
    <t>Blend met ca 10% benzinevervangers en 90% fossiele benzine. Blend zoals verkocht bij benzinestations.</t>
  </si>
  <si>
    <t>jan '21</t>
  </si>
  <si>
    <t>Benzine (2015-2019 blend)</t>
  </si>
  <si>
    <t>Deze factor is te gebruiken voor de periode 2015-2019 en gaat uit van de gemiddelde marktmix.</t>
  </si>
  <si>
    <t>Benzine (fossiel)</t>
  </si>
  <si>
    <t>Samenstelling benzine vóór bijmenging met biobrandstof.</t>
  </si>
  <si>
    <t>Bio-ethanol</t>
  </si>
  <si>
    <t>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</si>
  <si>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</si>
  <si>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Diesel (B7, 2020 blend)</t>
  </si>
  <si>
    <t>Blend met ca 7% biodiesel (FAME) en 93% fossiele diesel. Blend zoals verkocht bij benzinestations.</t>
  </si>
  <si>
    <t>Diesel (2015-2019 blend)</t>
  </si>
  <si>
    <t>Diesel (fossiel)</t>
  </si>
  <si>
    <t>Samenstelling diesel  vóór bijmenging met biobrandstof.</t>
  </si>
  <si>
    <t>Biodiesel (HVO)</t>
  </si>
  <si>
    <t xml:space="preserve">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</si>
  <si>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feb '21</t>
  </si>
  <si>
    <t>Biodiesel (FAME)</t>
  </si>
  <si>
    <t>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</si>
  <si>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GTL</t>
  </si>
  <si>
    <t>GTL is een brandstof met een schonere verbranding qua roet en fijnstof en is qua CO2-uitstoot vergelijkbaar met conventionele diesel.</t>
  </si>
  <si>
    <t>CNG (aardgas)</t>
  </si>
  <si>
    <t>kg</t>
  </si>
  <si>
    <t>Bio-CNG (groengas)</t>
  </si>
  <si>
    <t>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</si>
  <si>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LNG</t>
  </si>
  <si>
    <t>Bij gebruik van LNG is er een verschil in de uitstoot per motortype. De vermelde emissiefactor is van toepassing voor wegvervoer. In de scheepvaart wordt 4,307 kgCO2/kg aangehouden voor lean burn of dual fuel motoren en 3,557 kgCO2/kg voor zeeschepen met dual fuel injection motoren.</t>
  </si>
  <si>
    <t>Bio-LNG</t>
  </si>
  <si>
    <t>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</si>
  <si>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LPG</t>
  </si>
  <si>
    <t>Waterstof grijs</t>
  </si>
  <si>
    <t xml:space="preserve">Het is van groot belang of de waterstof is geproduceerd via aardgasfractionering of via elektrolyse met groene stroom. De laatste is meer in opkomst en wordt gezien als mogelijkheid om windstroom op te slaan. Gerekend is met een energieinhoud van 120 MJ/kg en 104,3 gr CO2/MJ voor grijze waterstof en 9,1 gr CO2/MJ voor groene waterstof. Indien waterstof in liters wordt afgerekend, wordt er ongeveer 90,7gr/liter waterstof getankt. </t>
  </si>
  <si>
    <t>Waterstof groen</t>
  </si>
  <si>
    <t>Marine Diesel Oil (MDO)</t>
  </si>
  <si>
    <t>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</si>
  <si>
    <t>Heavy Fuel Oil (HFO)</t>
  </si>
  <si>
    <t>Brandstof alleen voor gebruik in zeeschepen, buiten territoriale wateren. _x000D_
Ook zware stookolie of residual fuel oil genaamd. Moet verwarmd worden tot 60-80°C om te kunnen gebruiken. Zwavelpercentage is 0,5%.</t>
  </si>
  <si>
    <t>Kerosine (jet A1)</t>
  </si>
  <si>
    <t>Soortelijke massa is 0,8 kg/liter.</t>
  </si>
  <si>
    <t>Brandstoffen energiecentrales en individuele warmteopwekking</t>
  </si>
  <si>
    <t>Stookolie</t>
  </si>
  <si>
    <t>[6]</t>
  </si>
  <si>
    <t>jan '15</t>
  </si>
  <si>
    <t>Ruwe aardolie</t>
  </si>
  <si>
    <t>[1]</t>
  </si>
  <si>
    <t>Orimulsion</t>
  </si>
  <si>
    <t>Aargascondensaat</t>
  </si>
  <si>
    <t>Petroleum</t>
  </si>
  <si>
    <t>Leisteenolie</t>
  </si>
  <si>
    <t>Ethaan</t>
  </si>
  <si>
    <t>Nafta</t>
  </si>
  <si>
    <t>Bitumen</t>
  </si>
  <si>
    <t>Smeerolien</t>
  </si>
  <si>
    <t>Petroleumcokes</t>
  </si>
  <si>
    <t>Raffinaderijgrondstoffen</t>
  </si>
  <si>
    <t>Raffinaderij gas</t>
  </si>
  <si>
    <t>Voor elektriciteitsproductie uit afval, hoogovengas en restgassen uit raffinaderijen en petrochemie wordt verondersteld dat deze wordt opgewekt met een rendement dat gelijk is aan het gemiddelde rendement van het productiepark in Nederland (exclusief deze bronnen). Voor deze bronnen is het lastig de brandstof inzet te verdelen over elektriciteitsproductie en de andere functies die deze centrales hebben.</t>
  </si>
  <si>
    <t>jan '22</t>
  </si>
  <si>
    <t>Chemisch restgas</t>
  </si>
  <si>
    <t>Overige olien</t>
  </si>
  <si>
    <t>Antraciet</t>
  </si>
  <si>
    <t>Cokeskolen</t>
  </si>
  <si>
    <t>Cokeskolen (cokeovens)</t>
  </si>
  <si>
    <t>Cokeskolen (basismetaal)</t>
  </si>
  <si>
    <t>Steenkool</t>
  </si>
  <si>
    <t>Sub-bitumeneuze steenkool</t>
  </si>
  <si>
    <t>Bruinkool</t>
  </si>
  <si>
    <t>Bitumenezue leisteen</t>
  </si>
  <si>
    <t>Turf</t>
  </si>
  <si>
    <t>Steenkool - bruinkoolbriketten</t>
  </si>
  <si>
    <t>Aardgas</t>
  </si>
  <si>
    <t>Nm3</t>
  </si>
  <si>
    <t>[1] en [35]</t>
  </si>
  <si>
    <t>Doordat er steeds meer gas wordt geimporteerd, verandert de voorketenemissie van aardgas. In bron (35) is dit in beeld gebracht en geactualiseerd. 
Indien aardgas onverbrand weglekt, draagt dit ook bij aan het broeikaseffect, vanwege het aanwezige methaan (in G-gas is dat ca 81,3%). Methaan heeft een GWP van 28 (zie koudemiddelen en overige emissies). Indien er 1 m3 aardgas (soortelijk gewicht 0,845 kg/m3) weglekt geeft dit ongeveer 16,16 kg CO2 equivalenten.</t>
  </si>
  <si>
    <t>GJ</t>
  </si>
  <si>
    <t>[35]</t>
  </si>
  <si>
    <t xml:space="preserve">De verbrandingsemissie van aardgas zijn constant, maar de voorketenemissies zijn veranderlijk (bron 35). 
Indien methaan onverbrand weglekt, draagt dit ook bij aan het broeikaseffect (Methaan heeft een GWP van 28, zie koudemiddelen en overige emissies). Indien er 1 Nm3 aardgas (soortelijk gewicht 0,845 kg/m3) weglekt geeft dit ongeveer 16,16 kg CO2 equivalenten.
Nb. Sommige bedrijven krijgen hoog calorisch gas geleverd (H-gas). Op een factuur wordt dit altijd teruggerekend naar Nm3 G-gas. Wij presenteren dan ook alleen de emissiefactor voor G-Gas (methaangehalte 81,3%). 
</t>
  </si>
  <si>
    <t>juli '22</t>
  </si>
  <si>
    <t>Propaan</t>
  </si>
  <si>
    <t>[6] en [2]</t>
  </si>
  <si>
    <t>Groengas (stortgas)</t>
  </si>
  <si>
    <t>De CO2 emissies tijdens gebruik worden gelijk aan nul gesteld vanwege het kort-cyclische karakter van de koolstof in deze brandstoffen. Er komt weliswaar wel CO2 vrij, echter deze draagt niet bij aan de versterking van het broeikaseffect.</t>
  </si>
  <si>
    <t>Groengas (covergisting)</t>
  </si>
  <si>
    <t>[32]</t>
  </si>
  <si>
    <t>jan '20</t>
  </si>
  <si>
    <t>Groengas (GFT-vergisting)</t>
  </si>
  <si>
    <t>Groengas (RWZI-slib)</t>
  </si>
  <si>
    <t>Groengas (gemiddeld)</t>
  </si>
  <si>
    <t>Het berekende gewogen gemiddelde kan gebruikt worden in studies waarbij groengasemissies over een grote groep afnemers berekend moeten worden. Dit gemiddelde is nadrukkelijk niet bruikbaar voor individuele emissieberekeningen. Wanneer in een individueel geval niet bekend is welk groengas er afgenomen wordt, dient gerekend te worden met de ‘worst case’ (mestvergisting/covergisting).</t>
  </si>
  <si>
    <t>Houtige biobrandstoffen uit Nederland</t>
  </si>
  <si>
    <t>Houtchips (NL)</t>
  </si>
  <si>
    <t>kg ds</t>
  </si>
  <si>
    <t>[30]</t>
  </si>
  <si>
    <t xml:space="preserve">De eenheid van de houtige biomassa is kg droge stof. Per kg ds bevat houtige biomassa 19 MJ energie. 
Een kilo biomassa heeft een lager gewicht aan droge stof (ds), vanwege aanwezig vocht. Voor houtchips is het ds-gehalte heel variabel (45-85%), omdat de voorgeschreven vochtigheid van chips voor houtketels verschilt nogal per type/merk ketel (de specificaties bij kleinere ketels geven meestal een laag vochtigheidsgehalte en bij grotere ketels meestal een hoog).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t>
  </si>
  <si>
    <t>jan '19</t>
  </si>
  <si>
    <t>Shreds (NL)</t>
  </si>
  <si>
    <t>De eenheid van de houtige biomassa is kg droge stof (ds). Per kg ds bevat houtige biomassa 19 MJ energie. 
Een kilo biomassa heeft een lager gewicht aan droge stof, vanwege aanwezig vocht. Voor shreds is het ds-gehalte gemiddeld 55%.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</si>
  <si>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(droge) industrie reststroom (NL)</t>
  </si>
  <si>
    <t>De eenheid van de houtige biomassa is kg droge stof (ds). Per kg ds bevat houtige biomassa 19 MJ energie. 
Een kilo biomassa heeft een lager gewicht aan droge stof, vanwege aanwezig vocht. Voor pellets uit droge industriereststroom droge industriereststroom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</si>
  <si>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vers hout (NL)</t>
  </si>
  <si>
    <t>De eenheid van de houtige biomassa is kg droge stof (ds). Per kg ds bevat houtige biomassa 19 MJ energie. 
Een kilo biomassa heeft een lager gewicht aan droge stof, vanwege aanwezig vocht. Voor pellets uit vers hout is het ds-gehalte gemiddeld 91%. Vanwege het droogproces is de emissiefactor aanzienlijk hoger dan de andere biomassa stromen.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</si>
  <si>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Houtblokken (NL)</t>
  </si>
  <si>
    <t>De eenheid van de houtige biomassa is kg droge stof (ds). Per kg ds bevat houtige biomassa 19 MJ energie. 
Een kilo biomassa heeft een lager gewicht aan droge stof, vanwege aanwezig vocht. Voor houtblokken is het ds-gehalte gemiddeld 85%.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en ovengedroogde houtblokken.</t>
  </si>
  <si>
    <t>Elektriciteit</t>
  </si>
  <si>
    <t>Stroometiket</t>
  </si>
  <si>
    <t>nvt</t>
  </si>
  <si>
    <t>VARIABEL</t>
  </si>
  <si>
    <t>[23]</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</si>
  <si>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Dit getal kan preciezer berekend worden, afhankelijk van de geleverde stroom. Op het stroometiket staat ook de herkomst van de geleverde stroom (specifieke energiebron en land van oorsprong). Vermeld dit in rapportages. Bron 23 geeft ook ketenemissiekentallen per elektriciteitssoort. </t>
  </si>
  <si>
    <t>Grijze stroom</t>
  </si>
  <si>
    <t>kWh</t>
  </si>
  <si>
    <t>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1 gram CO2 per kWh (Bron 23).</t>
  </si>
  <si>
    <t>Stroom (onbekend)</t>
  </si>
  <si>
    <t>Deze factor kan alleen worden gebruikt als de bron van uw stroom niet te achterhalen is. Denk hierbij bijvoorbeeld aan een laadpaal voor het opladen van elektrische auto's langs de openbare weg. Gebruik van deze factor dient zo veel mogelijk vermeden te worden. Indien u de CO2 uitstoot t.g.v. de bouw en sloop van de energiecentrale ook wilt meenemen (LCA benadering) dan is deze ca. 5 gram CO2 per kWh (Bron 23).</t>
  </si>
  <si>
    <t>Windkracht</t>
  </si>
  <si>
    <t xml:space="preserve">De uitstoot is 0 indien de Well to Wheel benadering gebruikt wordt. Indien u de CO2 uitstoot t.g.v. de bouw en sloop van windmolens ook wilt meenemen (LCA benadering) dan is deze ca. 14 gram CO2 per kWh (Bron 23).
</t>
  </si>
  <si>
    <t>Waterkracht</t>
  </si>
  <si>
    <t xml:space="preserve">De uitstoot is 0 indien de Well to Wheel benadering gebruikt wordt. Indien u de CO2 uitstoot t.g.v. de bouw en sloop van de waterkrachtcentrale ook wilt meenemen (LCA benadering) dan is deze ca. 4 gram CO2 per kWh (Bron 23).
</t>
  </si>
  <si>
    <t>Zonne-energie</t>
  </si>
  <si>
    <t xml:space="preserve">De uitstoot is 0 indien de Well to Wheel benadering gebruikt wordt. Indien u de CO2 uitstoot t.g.v. de bouw en sloop van de zonnepanelen ook wilt meenemen (LCA benadering) dan is deze ca. 61 gram CO2 per kWh (Bron 23). 
</t>
  </si>
  <si>
    <t>Biomassa</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</si>
  <si>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Energie uit biomassa is volgens CBS afkomstig uit meerdere energie-bronnen: 35% AVI (gft), 31% meestook (hout), 16% decentraal (hout), 3% RWZI slib (biogas), 9% mest (biogas), 5% overig (biogas). Indien u de CO2 uitstoot t.g.v. de bouw en sloop van de energiecentrale ook wilt meenemen (LCA benadering) dan is deze ca. 1 gram CO2 per kWh (Bron 23).</t>
  </si>
  <si>
    <t>Warmtelevering</t>
  </si>
  <si>
    <t>Gemiddelde warmtenetten</t>
  </si>
  <si>
    <t xml:space="preserve">[36] en [25] </t>
  </si>
  <si>
    <t xml:space="preserve">Gemiddelde voor warmte afkomstig uit grootschalige warmtenetten. Desgewenst is de specifieke TTW emissiefactor van uw eigen net te herleiden uit het Duurzaamheidsrapport warmtebedrijven (36). 
Indien er warmte en/of koude wordt geleverd uit een naburige WKO-installatie waarbij u niet zelf in het elektriciteitsgebruik van de WKO voorziet, dan kan met een emissiefactor van ongeveer 24,11 kg/GJ worden gerekend. Hierbij is uitgegaan van een COP van 4,9 en gebruik van de gemiddelde stroommix (0,427 kg/kWh).
</t>
  </si>
  <si>
    <t>Restwarmte zonder bijstook</t>
  </si>
  <si>
    <t>[25]</t>
  </si>
  <si>
    <t xml:space="preserve">Het gaat hierbij om de afname van restwarmte waarbij de klant zelf de pieken opvangt op de momenten dat er geen of onvoldoende restwarmte beschikbaar is. 
</t>
  </si>
  <si>
    <t>mei '16</t>
  </si>
  <si>
    <t>Personenvervoer</t>
  </si>
  <si>
    <t>Auto</t>
  </si>
  <si>
    <t>Brandstofsoort onbekend</t>
  </si>
  <si>
    <t>Gewichtsklasse onbekend</t>
  </si>
  <si>
    <t>voertuigkilometer</t>
  </si>
  <si>
    <t>[9]</t>
  </si>
  <si>
    <t>Uitgegaan is van een middelgrote auto met bouwjaar 2017 of nieuwer en een bijbehorende wegtypeverdeling . Een brandstofmix van 80,3% Benzine, 12,3% Diesel, 1,3% LPG, 0,1% Aardgas/CNG en 6% elektrisch (volledig en plug-in) is aangehouden. De voertuigkilometers kan men om rekenen naar reizigerskilometers door te delen door het aantal inzittenden. Dat kan bij de reizen waar het aantal inzittenden bekend is. De gemiddelde bezettingsgraad van auto's is 1,39 (Bron 2).</t>
  </si>
  <si>
    <t>Benzine</t>
  </si>
  <si>
    <t>Klein</t>
  </si>
  <si>
    <t>Uitgegaan is van een auto met bouwjaar 2017 of nieuwer (met bijbehorende wegtypeverdeling),  rijdend op E10 benzine. Een kleine personenauto op benzine valt in autosegment A en B en heeft doorgaans een massa kleiner dan 950 kg en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1,39 (Bron 2).</t>
  </si>
  <si>
    <t>Middel</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</si>
  <si>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</si>
  <si>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Groot</t>
  </si>
  <si>
    <t>Uitgegaan is van een auto met bouwjaar 2017 of nieuwer (met bijbehorende wegtypeverdeling), rijdend op E10 benzine De klasse grote auto op benzine valt in autosegment D, E of F en weegt doorgaans meer dan 1350 kg en heeft een motorinhoud &gt;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</si>
  <si>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Hybride</t>
  </si>
  <si>
    <t xml:space="preserve">Uitgegaan is van een middelgrote hybride auto die E10 tankt. Een hybride kan 20 tot 30% zuiniger zijn dan een vergelijkbare auto zonder elektrische ondersteuning. ’
De voertuigkilometers kan men om rekenen naar reizigerskilometers door te delen door het aantal inzittenden. Dat kan bij de reizen waar het aantal inzittenden bekend is. De gemiddelde bezettingsgraad van auto’s is 1,39 (Bron 2).
</t>
  </si>
  <si>
    <t>plug-in hybride</t>
  </si>
  <si>
    <t>Uitgegaan is van een  middelgrote auto met bouwjaar 2017 of nieuwer (met bijbehorende wegtypeverdeling) die E10 tankt en gemiddeld 27% elektrisch rijdt. Een plug in hybride kan tot 40% zuiniger zijn dan een vergelijkbare auto zonder elektrische ondersteuning en accu. Uit metingen aan het praktijkverbruik van hybride auto’s die gebruikt worden als bedrijfvoertuig werd echter een zéér variërend minderverbruik aangetoond. De voertuigkilometers kan men om rekenen naar reizigerskilometers door te delen door het aantal inzittenden. Dat kan bij de reizen waar het aantal inzittenden bekend is. De gemiddelde bezettingsgraad van auto's is 1,39 (Bron 2).</t>
  </si>
  <si>
    <t>Diesel</t>
  </si>
  <si>
    <t>Uitgegaan is van een auto met bouwjaar 2017 of nieuwer (met een bijbehorende wegtypeverdeling), rijdend op B7 diesel. Een kleine personenauto op diesel valt in autosegment A of B en heeft doorgaans een massa van kleiner dan 1050 kg en een motorinhoud van minder dan 1,8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</si>
  <si>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</si>
  <si>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B7 diesel. De klasse grote auto op diesel valt in autosegment D, E of F en weegt doorgaans meer dan 1450 kg met een motorinhoud groter dan 2,2 L. Het gaat om het praktijkverbruik van de auto’s. . De voertuigkilometers kan men om rekenen naar reizigerskilometers door te delen door het aantal inzittenden. Dat kan bij de reizen waar het aantal inzittenden bekend is. De gemiddelde bezettingsgraad van auto's is 1,39 (Bron 2).</t>
  </si>
  <si>
    <t>Uitgegaan is van een middelgrote auto rijdend op B7 diesel.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</si>
  <si>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50% butaan en 50% propaangemiddeld wegtype. Een kleine personenauto op LPG valt in autosegment A of B en heeft doorgaans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t>
  </si>
  <si>
    <t xml:space="preserve">Uitgegaan is van een auto met bouwjaar 2017 of nieuwer (met bijbehorende wegtypeverdeling), rijdend op 50% butaan en 50% propaan . Een middelzware personenauto op LPG valt in autosegment C en heeft doorgaans een massa tussen de 1000 en 1400 kg, en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</si>
  <si>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Aardgas/ CNG</t>
  </si>
  <si>
    <t>Uitgegaan is van een auto met bouwjaar 2017 of nieuwer, met bijbehorende wegtypeverdeling. Een kleine personenauto op CNG valt in autosegment A of B en heeft een massa van kleiner dan 1000 kg en doorgaans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</si>
  <si>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Een middelgrote auto valt in autosegment C en heeft doorgaans een gewicht tussen de 1000 en 1400 kg,.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</si>
  <si>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 met bijbehorende wegtypeverdeling). De klasse grote auto op CNG valt in autosegment D, E of F en heeft doorgaans een massa van meer dan 1400 kg en een motorinhoud van meer dan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</si>
  <si>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Bio-CNG</t>
  </si>
  <si>
    <t>Gemiddeld</t>
  </si>
  <si>
    <t xml:space="preserve">Uitgegaan is van een middelgrote auto met bouwjaar 2017 of nieuwer (met bijbehorende wegtypeverdeling). Een middelgrote auto valt in autosegment C en heeft doorgaans een gewicht tussen de 1000 en 1400 kg. 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 </t>
  </si>
  <si>
    <t>Bio-ethanol (E85)</t>
  </si>
  <si>
    <t xml:space="preserve">Uitgegaan is van een middelgrote auto met bouwjaar 2017 of nieuwer (met bijbehorende wegtypeverdeling). Een middelgrote auto valt in autosegment C en heeft doorgaans een gewicht tussen de 950 en 1350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 </t>
  </si>
  <si>
    <t>Biodiesel FAME 100%</t>
  </si>
  <si>
    <t>Uitgegaan is van een middelgrote auto met bouwjaar 2017 of nieuwer (met bijbehorende wegtypeverdeling). Een middelgrote auto valt in autosegment C en heeft doorgaans een gewicht tussen de 1000 en 1400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t>
  </si>
  <si>
    <t>Biodiesel HVO 100%</t>
  </si>
  <si>
    <t xml:space="preserve">Uitgegaan is van een middelgrote auto met bouwjaar 2017 of nieuwer (met bijbehorende wegtypeverdeling. Een middelgrote auto valt in autosegment C en heeft doorgaans een gewicht tussen de 1000 en 1400 kg. De emissiefactor geldt alleen voor HVO (Hydrotreated Vegetable Oil) geproduceerd op basis van duurzame grondstoffen, dit is met name UCO (Used Cooking Oils). De voertuigkilometers kan men om rekenen naar reizigerskilometers door te delen door het aantal inzittenden. Dat kan bij de reizen waar het aantal inzittenden bekend is. De gemiddelde bezettingsgraad van auto's is 1,39 (Bron 2). </t>
  </si>
  <si>
    <t>[13] en [31]</t>
  </si>
  <si>
    <t>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 (Bron 2)</t>
  </si>
  <si>
    <t>Elektrisch</t>
  </si>
  <si>
    <t>Uitgegaan is van een middelgrote auto (autosegment C ) met bouwjaar 2017 of nieuwer, met een bijbehorende wegtypeverdeling. De well-to-tank-emissies van de elektrische auto zijn in deze gebaseerd op de emissies van de grijze stroom (zie elektriciteit). Wordt een specifieke energiebron ingekocht dan dient de emissiefactor van de betreffende elektriciteit te worden gebruikt, vermenigvuldigd met het geschatte verbruik van een middelgrote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</si>
  <si>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Gemiddelde stroommix</t>
  </si>
  <si>
    <t>Uitgegaan is van een middelgrote auto (autosegment C )  met bouwjaar 2017 of nieuwer, met een bijbehorende wegtypeverdeling.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verbruik van een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</si>
  <si>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Groene stroom</t>
  </si>
  <si>
    <t>Uitgegaan is van een middelgrote auto (autosegment C ) met bouwjaar 2017 of nieuwer, met een bijbehorende wegtypeverdeling. De well-to-tank-emissies van de elektrische auto zijn in deze gebaseerd op de gemiddelde emissies van de groene stroom(zie Bron 9). Wordt een specifieke energiebron ingekocht dan dient de emissiefactor van de betreffende elektriciteit te worden gebruikt, vermenigvuldigd met de geschatte verbruik van een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</si>
  <si>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Fiets</t>
  </si>
  <si>
    <t>[2]</t>
  </si>
  <si>
    <t>Indien gebruik wordt gemaakt van groene stroom is de uitstoot 0 gr/km.</t>
  </si>
  <si>
    <t>Minibus (max. 8 personen)</t>
  </si>
  <si>
    <t xml:space="preserve">Het gaat om middelzware bestelbussen, met een leeggewicht van ca. 2000 kg (vergelijkbaar met taxi/belbus) (Bron 2). </t>
  </si>
  <si>
    <t xml:space="preserve">jan '15 </t>
  </si>
  <si>
    <t>Minibus</t>
  </si>
  <si>
    <t>Toeringcar</t>
  </si>
  <si>
    <t>reizigerskilometer</t>
  </si>
  <si>
    <t xml:space="preserve">Deze factor is berekend op basis van een bezettingsgraad van 31,6 (Bron 2). Om emissies terug te rekenen voor personenvervoer dient hiervoor gecorrigeerd te worden. Uitgegaan is van een gemiddeld wegtype. </t>
  </si>
  <si>
    <t>OV algemeen</t>
  </si>
  <si>
    <t>Voertuigtype onbekend</t>
  </si>
  <si>
    <t>[34]</t>
  </si>
  <si>
    <t xml:space="preserve">Berekend op basis van gegevens Duinn (bron 34) en reizigerskilometers zoals gerapporteerd in ODiN 2019 (CBS). </t>
  </si>
  <si>
    <t>Bus, Tram, Metro</t>
  </si>
  <si>
    <t>Berekend op basis van gegevens Duinn (bron 34).</t>
  </si>
  <si>
    <t>Trein</t>
  </si>
  <si>
    <t>Treintype onbekend</t>
  </si>
  <si>
    <t>Berekend op basis van gegevens Duinn (bron 34) en reizigerskilometers zoals gerapporteerd in ODiN 2019 (CBS). Niet geldig voor buitenlandse treinreizen.</t>
  </si>
  <si>
    <t>Trein diesel</t>
  </si>
  <si>
    <t>Uitgaande van data uit OV concessies en gebruik van normale diesel (2015-2019 blend).</t>
  </si>
  <si>
    <t>Trein elektrisch</t>
  </si>
  <si>
    <t>Geldig voor NS, intercity direct en regionale elektrische treinen. OV bedrijven gebruiken 100% groene stroom, waardoor er geen emissies vrijkomen per reizigerskilometer.</t>
  </si>
  <si>
    <t>Trein internationaal</t>
  </si>
  <si>
    <t>[2] en [29]</t>
  </si>
  <si>
    <t>Voorheen HSL genaamd. De HSL in Nederland rijdt nu echter ook op groene stroom. Voor internationale treinen zijn geen recente cijfers bekend. (29). Om de CO2 uitstoot per voertuigkilometer te berekenen dient met de gegeven waarden te corrigeren met een bezetting van 57% (2). De emissiecijfers zijn exclusief voor- en natransport en ook de omrijfactor is buiten beschouwing gelaten.</t>
  </si>
  <si>
    <t>dec '17</t>
  </si>
  <si>
    <t>Bus</t>
  </si>
  <si>
    <t>Bus type onbekend</t>
  </si>
  <si>
    <t>Zoals gerapporteerd in 'Staat van het OV 2019' (CROW). Uitsplitsing WTT en TTW is niet beschikbaar.</t>
  </si>
  <si>
    <t>Bus diesel</t>
  </si>
  <si>
    <t>Uitgaande van gebruik van normale diesel (2015-2019 blend).</t>
  </si>
  <si>
    <t>Bus groengas</t>
  </si>
  <si>
    <t>Uitgaande van gebruik van groengas (Bio-CNG). De meeste busconcessies maken gebruik van groengas, in 2019 gebruikte alleen Haaglanden en Zeeland aardgas als brandstof</t>
  </si>
  <si>
    <t>Bus waterstof</t>
  </si>
  <si>
    <t>Uitgaande van gebruik van grijze waterstof.</t>
  </si>
  <si>
    <t>Bus elektrisch</t>
  </si>
  <si>
    <t>OV bedrijven gebruiken 100% groene stroom, waardoor er geen emissies vrijkomen per reizigerskilometer.</t>
  </si>
  <si>
    <t>Metro</t>
  </si>
  <si>
    <t>Tram</t>
  </si>
  <si>
    <t>Vliegtuig</t>
  </si>
  <si>
    <t>Regionaal</t>
  </si>
  <si>
    <t>&lt; 700 km</t>
  </si>
  <si>
    <t>[37]</t>
  </si>
  <si>
    <t>Voor emissiefactoren per zitplaatsklasse, zie het document van Milieu Centraal bij bronnen (nummer 37). Voor vliegreizen wordt onderscheid gemaakt in afstandsklassen. De emissies voor landen, taxiën en opstijgen vormen bij korte vluchten een aanzienlijk aandeel in het totaal en bij lange vluchten slechts een fractie. In de cijfers zijn ook niet-CO2-effecten opgenomen, die juist bij lange vluchten een groter aandeel vormen. Een wetenschappelijk gefundeerde methode om deze niet CO2-emissies te berekenen ontbreekt nog.  De niet-CO2-emissie wordt bepaald met een gemiddelde ophoogfactor (0,7) over de directe CO2-uitstoot. De pure CO2-emissies zijn gemiddeld ongeveer 50% lager dan de waarden in CO2-equivalenten.</t>
  </si>
  <si>
    <t>Europees</t>
  </si>
  <si>
    <t>700 - 2.500 km</t>
  </si>
  <si>
    <t>Intercontinentaal</t>
  </si>
  <si>
    <t>&gt; 2.500 km</t>
  </si>
  <si>
    <t>Gem. alle afstanden</t>
  </si>
  <si>
    <t>Goederenvervoer</t>
  </si>
  <si>
    <t>Bulk- en stukgoederen</t>
  </si>
  <si>
    <t>Bestelauto</t>
  </si>
  <si>
    <t>&gt; 2 ton</t>
  </si>
  <si>
    <t>tonkilometer</t>
  </si>
  <si>
    <t>[33], tabel 5</t>
  </si>
  <si>
    <t>Laadcapaciteit max. 1,2 ton. Veelal pakketbezorgdiensten.</t>
  </si>
  <si>
    <t>Vrachtwagen</t>
  </si>
  <si>
    <t>vrachtwagen &lt; 10 ton</t>
  </si>
  <si>
    <t>[33], tabel 4</t>
  </si>
  <si>
    <t>De gewichtsklasse geeft de maximaal toegestane voertuigmassa aan (i.e. het gewicht van het voertuig plus het laadvermogen). Betreft mn. vrachtwagens van bezorgdiensten en verhuisbedrijven. Ladingcapaciteit is 3 ton.</t>
  </si>
  <si>
    <t>vrachtwagen 10-20 ton</t>
  </si>
  <si>
    <t>Komt veel voor. De gewichtsklasse geeft de maximaal toegestane voertuigmassa aan (i.e. het gewicht van het voertuig plus het laadvermogen). Ladingcapaciteit is 7,5 ton.</t>
  </si>
  <si>
    <t>vrachtwagen &gt; 20 ton plus aanhanger</t>
  </si>
  <si>
    <t>De gewichtsklasse geeft de maximaal toegestane voertuigmassa aan (i.e. het gewicht van het voertuig plus het laadvermogen). Ladingcapaciteit is 28 ton.</t>
  </si>
  <si>
    <t>zware trekker + oplegger</t>
  </si>
  <si>
    <t>Komt veel voor. Ladingcapaciteit is 29,2 ton.</t>
  </si>
  <si>
    <t>LZV</t>
  </si>
  <si>
    <t>LZV = Lange zware voertuigen. Komen niet in stedelijke gebieden. Ladingcapaciteit 40,8 ton.</t>
  </si>
  <si>
    <t>[33], tabel 16</t>
  </si>
  <si>
    <t>Exclusief voor- en natransport. Lading zwaar, middellange trein.</t>
  </si>
  <si>
    <t>Combinatie</t>
  </si>
  <si>
    <t>Gemiddeld in Nederland. Combinatie van 73% elektrisch en 27% diesel. Exclusief voor- en natransport. Lading zwaar, middellange trein.</t>
  </si>
  <si>
    <t>Binnenvaart</t>
  </si>
  <si>
    <t>Klein, 300-600 ton (Spits-Kempenaar)</t>
  </si>
  <si>
    <t>[33], tabel 24</t>
  </si>
  <si>
    <t>Gemiddelde factor van CEMT en Waal, middelzwaar transport. De gewichtsklasse geeft een range van het maximale laadvermogen. De factor is exclusief voor- en natransport. Nb. Past uw vaartuig niet in de gegeven ranges, raadpleeg dan het brondocument.</t>
  </si>
  <si>
    <t>Gemiddeld, 1500-3000 ton (RHK-groot Rijnschip)</t>
  </si>
  <si>
    <t>Meest voorkomend type. Waal en zwaar transport zijn representatief. De gewichtsklasse geeft een range van het maximale laadvermogen. De factor is exclusief voor- en natransport. Nb. Past uw vaartuig niet in de gegeven ranges, raadpleeg dan het brondocument.</t>
  </si>
  <si>
    <t>Groot, 5000-11000 ton (koppelverband-duwbak)</t>
  </si>
  <si>
    <t>Waal en zwaar transport zijn representatief. De gewichtsklasse geeft een range van het maximale laadvermogen. De factor is exclusief voor- en natransport. Nb. Past uw vaartuig niet in de gegeven ranges, raadpleeg dan het brondocument.</t>
  </si>
  <si>
    <t>Gemiddelde binnenvaart
(RHKschip waal 1.537 ton en groot rijschip waal 3.013 ton)</t>
  </si>
  <si>
    <t>Meest voorkomend type schepen zijn R.H.K (Rijn-Herne-Kanaal) 1.537 ton en Groot Rijnschip 3.013 ton. De factor is exclusief voor- en natransport. Nb. Past uw vaartuig niet in de gegeven ranges, raadpleeg dan het brondocument.</t>
  </si>
  <si>
    <t>Zeevaart</t>
  </si>
  <si>
    <t>Kustvaart</t>
  </si>
  <si>
    <t>[33], tabel 29</t>
  </si>
  <si>
    <t>General cargo, 10-20 dwkt (deadweight tonnage in kiloton); maximaal toegestane massa van brandstof, ballastwater en lading. De factor is exclusief voor- en natransport.</t>
  </si>
  <si>
    <t>Deep Sea</t>
  </si>
  <si>
    <t>Bulkcarrier 35-60 dwkt (deadweight tonnage in kiloton); maximaal toegestane massa van brandstof, ballastwater en lading. De factor is exclusief voor- en natransport.</t>
  </si>
  <si>
    <t>gemiddelde (berekend per tonkm)</t>
  </si>
  <si>
    <t>Gemiddelde is gebaseerd op deep sea, omdat dit representatief is voor het grootste deel van het transport. De factor is exclusief voor- en natransport.</t>
  </si>
  <si>
    <t>Luchtvaart</t>
  </si>
  <si>
    <t>lange afstand</t>
  </si>
  <si>
    <t>[33], tabel 35</t>
  </si>
  <si>
    <t xml:space="preserve">Gemiddelde tussen belly freight en full freight. Lading licht. </t>
  </si>
  <si>
    <t>Containers</t>
  </si>
  <si>
    <t>&gt; 20 ton</t>
  </si>
  <si>
    <t>[33], tabel 7</t>
  </si>
  <si>
    <t>De gewichtsklasse geeft de maximaal toegestane massa aan (i.e. het gewicht van het voertuig plus het laadvermogen). Ladingcapaciteit 1 TEU</t>
  </si>
  <si>
    <t>&gt; 20 ton met aanhanger</t>
  </si>
  <si>
    <t>De gewichtsklasse geeft de maximaal toegestane massa aan (i.e. het gewicht van het voertuig plus het laadvermogen). Ladingcapaciteit 2 TEU.</t>
  </si>
  <si>
    <t>Trekker met oplegger zwaar</t>
  </si>
  <si>
    <t>LZV = Lange zware voertuigen. Komen niet in stedelijke gebieden. Ladingcapaciteit 3 TEU</t>
  </si>
  <si>
    <t>[33], tabel 17</t>
  </si>
  <si>
    <t>Exclusief voor- en natransport. Ladingcapaciteit 90 TEU</t>
  </si>
  <si>
    <t>Gemiddeld in Nederland: combinatie van 73% elektrisch en 27% diesel. Exclusief voor- en natransport. Ladingcapaciteit 90 TEU</t>
  </si>
  <si>
    <t>40 TEU (Neo Kemp)</t>
  </si>
  <si>
    <t>[33], tabel 25</t>
  </si>
  <si>
    <t>Gemiddelde factor van CEMT III en Waal, middelzwaar transport. De factor is exclusief voor- en natransport.</t>
  </si>
  <si>
    <t>96 TEU (Rijn Herne Kanaal)</t>
  </si>
  <si>
    <t>Waal representatief. De factor is exclusief voor- en natransport.</t>
  </si>
  <si>
    <t>208 TEU (Groot Rijnschip)</t>
  </si>
  <si>
    <t>348 TEU (koppelverband)</t>
  </si>
  <si>
    <t xml:space="preserve">Gemiddelde binnenvaart (Groot Rijschip 208 teu) </t>
  </si>
  <si>
    <t>Meest voorkomend is Groot Rijnschip 208 TEU, deze factor kan als gemiddelde worden aangehouden. De factor is exclusief voor- en natransport.</t>
  </si>
  <si>
    <t>[33], tabel 31</t>
  </si>
  <si>
    <t>1.000-2000 TEU. De factor is exclusief voor- en natransport.</t>
  </si>
  <si>
    <t>8.000-12.000 TEU. Middelzwaar transport is representatief. De factor is exclusief voor- en natransport.</t>
  </si>
  <si>
    <t>Gemiddelde</t>
  </si>
  <si>
    <t>Koudemiddelen en overige emissies</t>
  </si>
  <si>
    <t>R22</t>
  </si>
  <si>
    <t>[7]</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</si>
  <si>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</si>
  <si>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t>R134a</t>
  </si>
  <si>
    <t>R125</t>
  </si>
  <si>
    <t>R143a</t>
  </si>
  <si>
    <t>R32</t>
  </si>
  <si>
    <t>R404a</t>
  </si>
  <si>
    <t>(44% R125; 52% R143a; 4% R134a)</t>
  </si>
  <si>
    <t>R507</t>
  </si>
  <si>
    <t>(50% R143a; 50% R125)</t>
  </si>
  <si>
    <t>R407c</t>
  </si>
  <si>
    <t>(23% R32; 25% R125; 52% R134a)</t>
  </si>
  <si>
    <t>R407F</t>
  </si>
  <si>
    <t>(40% R134a, 30% R125a, 30% R32)</t>
  </si>
  <si>
    <t>R410a</t>
  </si>
  <si>
    <t>(50% R32; 50% R125)</t>
  </si>
  <si>
    <t>R417a</t>
  </si>
  <si>
    <t>(46,6% R125; 50% R134a; 3,4% butaan)</t>
  </si>
  <si>
    <t>R422d</t>
  </si>
  <si>
    <t>(65,1% R125; 31,5% R134a; 3,4% R600a)</t>
  </si>
  <si>
    <t>1234yf</t>
  </si>
  <si>
    <t>1234ze</t>
  </si>
  <si>
    <t>R744 (CO2)</t>
  </si>
  <si>
    <t>R438A</t>
  </si>
  <si>
    <t>(8,5% R-32, 45% R125, 44,2% R134a 1,7% R600, 0,6% R601a)</t>
  </si>
  <si>
    <t>R448A</t>
  </si>
  <si>
    <t>(blend van R32 (26%), R125 (26%), R134a (21%), R1234ze (7%) en R1234yf (20%)</t>
  </si>
  <si>
    <t>R449A</t>
  </si>
  <si>
    <t>(blend van R32 (24,3%), R125 (24,7%), R1234yf (25,3%) and R134a (25,7%))</t>
  </si>
  <si>
    <t>R450A</t>
  </si>
  <si>
    <t>(blend van R134a (42%) en R1234ze (58%)</t>
  </si>
  <si>
    <t>R452A</t>
  </si>
  <si>
    <t>(11% R-32, 59% R125, 30% R1234yf)</t>
  </si>
  <si>
    <t>R452B</t>
  </si>
  <si>
    <t>(blend van R32 (67%), R125 (7%) en R1234yf (26%))</t>
  </si>
  <si>
    <t>R513A</t>
  </si>
  <si>
    <t>(blend van 56% R1234yf and 44% R134a)</t>
  </si>
  <si>
    <t>R290</t>
  </si>
  <si>
    <t>propaan</t>
  </si>
  <si>
    <t>R600</t>
  </si>
  <si>
    <t>butaan</t>
  </si>
  <si>
    <t>R600a</t>
  </si>
  <si>
    <t>isobutaan</t>
  </si>
  <si>
    <t>R601A</t>
  </si>
  <si>
    <t>isopentaan</t>
  </si>
  <si>
    <t>R717</t>
  </si>
  <si>
    <t>ammoniak</t>
  </si>
  <si>
    <t>Methaan</t>
  </si>
  <si>
    <t>CH4</t>
  </si>
  <si>
    <t>De waarden in deze tabel kunnen worden gebruikt om de klimaatschade van lekkend gas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</si>
  <si>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t>Lachgas</t>
  </si>
  <si>
    <t>N2O</t>
  </si>
  <si>
    <t>Bronnen:</t>
  </si>
  <si>
    <r>
      <t xml:space="preserve">1. </t>
    </r>
    <r>
      <rPr>
        <sz val="9"/>
        <color rgb="FFFF0000"/>
        <rFont val="Verdana"/>
        <family val="2"/>
      </rPr>
      <t>RVO, 2021</t>
    </r>
    <r>
      <rPr>
        <sz val="9"/>
        <rFont val="Verdana"/>
        <family val="2"/>
      </rPr>
      <t xml:space="preserve">: Nederlandse lijst Energiedragers en standaard CO2 emissiefactoren
2. CE Delft, 2014. STREAM personenvervoer 2014
3. Vervallen
4. Vervallen
5. Vervallen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Vervallen
9. </t>
    </r>
    <r>
      <rPr>
        <sz val="9"/>
        <color rgb="FFFF0000"/>
        <rFont val="Verdana"/>
        <family val="2"/>
      </rPr>
      <t>Milieu Centraal, 2022. Methodiek CO2 emissiefactoren personenauto's</t>
    </r>
    <r>
      <rPr>
        <sz val="9"/>
        <rFont val="Verdana"/>
        <family val="2"/>
      </rPr>
      <t xml:space="preserve">
10. Vervallen
11. Vervallen
12. Vervallen
13. JRC (2013) [online] http://iet.jrc.ec.europa.eu/about-jec/downloads
14. Vervallen
15. Vervallen
16. Vervallen
17. Vervallen
18. Vervallen
19. Vervallen
20. Vervallen
21. Vervallen
22. Louwen, 2012. Comparison of Life Cycle Greenhouse Gas Emissions of Shale Gas with Conventional Fuels and Renewable Alternatives. Comparing a possible new fossiel fuel with commonly used energy sources in the Netherlands. Universiteit Utrecht, augustus 2012.
23. </t>
    </r>
    <r>
      <rPr>
        <sz val="9"/>
        <color rgb="FFFF0000"/>
        <rFont val="Verdana"/>
        <family val="2"/>
      </rPr>
      <t>CE Delft, 2022. Emissiekentallen elektriciteit.</t>
    </r>
    <r>
      <rPr>
        <sz val="9"/>
        <rFont val="Verdana"/>
        <family val="2"/>
      </rPr>
      <t xml:space="preserve">
24. Vervallen
25. CE Delft, 2016. Ketenemissies warmtelevering - Directe en indirecte CO2-emissies van warmtetechnieken.
26. Vervallen
27. Vervallen</t>
    </r>
  </si>
  <si>
    <r>
      <t xml:space="preserve">28. </t>
    </r>
    <r>
      <rPr>
        <sz val="9"/>
        <color rgb="FFFF0000"/>
        <rFont val="Verdana"/>
        <family val="2"/>
      </rPr>
      <t>Vervallen</t>
    </r>
    <r>
      <rPr>
        <sz val="9"/>
        <rFont val="Verdana"/>
        <family val="2"/>
      </rPr>
      <t xml:space="preserve">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
33. CE Delft, 2020. Stream Goederenvervoer. Versie januari 2021. https://www.ce.nl/publicaties/2549/stream-goederenvervoer-2020
34. Duinn, Rijkswaterstaat, 2021. CO2emissiefactoren openbaar vervoer.
</t>
    </r>
    <r>
      <rPr>
        <sz val="9"/>
        <color rgb="FFFF0000"/>
        <rFont val="Verdana"/>
        <family val="2"/>
      </rPr>
      <t>35. RHDHV,  2021. Broeikasgasemissies aardgasketens. 
36. RVO. Duurzaamheidsrapport warmtebedrijven. https://expertisecentrumwarmte.nl/themas/marktordening+en+financiering/duurzaamheid+van+bestaande+warmtenetten/default.aspx
37. MilieuCentraal, 2022. Emissiefactoren van vliegverkeer in meer detail.</t>
    </r>
  </si>
  <si>
    <t>CO2 emissiefactoren diverse brandstoffen</t>
  </si>
  <si>
    <t>TTW =</t>
  </si>
  <si>
    <t>WTW=</t>
  </si>
  <si>
    <t>Optelsom van productie en gebruik</t>
  </si>
  <si>
    <t>Gebruiker</t>
  </si>
  <si>
    <t>Tank To Wheel</t>
  </si>
  <si>
    <t>Well To Wheel</t>
  </si>
  <si>
    <t>kgCO2/ Nm3 of kg of liter</t>
  </si>
  <si>
    <t>Bestaande situatie</t>
  </si>
  <si>
    <t>Gas :</t>
  </si>
  <si>
    <t>kg CO2</t>
  </si>
  <si>
    <t>Aardgascondensaat</t>
  </si>
  <si>
    <t>TTW</t>
  </si>
  <si>
    <t>WTW</t>
  </si>
  <si>
    <t>Kg CO2/eenheid</t>
  </si>
  <si>
    <t xml:space="preserve">Kg CO2/eenheid </t>
  </si>
  <si>
    <t>Selecteer</t>
  </si>
  <si>
    <t>Referentiepark methode KEV 2022, tabel 23 pagina 226</t>
  </si>
  <si>
    <t>Referentiepark</t>
  </si>
  <si>
    <t>Nieuwe situatie</t>
  </si>
  <si>
    <t>Verschil</t>
  </si>
  <si>
    <t>CO2 (kg)</t>
  </si>
  <si>
    <t>DATA Uitvoer</t>
  </si>
  <si>
    <t>Verbruik / jaar</t>
  </si>
  <si>
    <t>CO2 berekening</t>
  </si>
  <si>
    <t>RVO</t>
  </si>
  <si>
    <t>1.0</t>
  </si>
  <si>
    <t>Maak een selectie</t>
  </si>
  <si>
    <t>Vul in!</t>
  </si>
  <si>
    <t>Versiebeheer</t>
  </si>
  <si>
    <t>Legenda</t>
  </si>
  <si>
    <t>Verbruik /jaar</t>
  </si>
  <si>
    <t>Emissie</t>
  </si>
  <si>
    <t>Toelichting op het rekenmodel CO2 besparing</t>
  </si>
  <si>
    <t xml:space="preserve">Algemeen: </t>
  </si>
  <si>
    <t>U kunt alleen in de GEEL gemarkeerde cellen getallen invoeren</t>
  </si>
  <si>
    <t>U kunt in de licht blauw gemarkeerde cellen dmv een "trekvenster"</t>
  </si>
  <si>
    <t xml:space="preserve">een keuze maken. </t>
  </si>
  <si>
    <t>Doel van dit rekenmodel is om een heldere CO2 berekening te genereren, waarbij gebruik wordt gemaakt van de juiste omrekeningsfactoren</t>
  </si>
  <si>
    <t>Selecteer een brandstof (indien van toepassing)</t>
  </si>
  <si>
    <t>Shreds</t>
  </si>
  <si>
    <t>Houtige biobrandstoffen uit NL</t>
  </si>
  <si>
    <t>Veel gebruikte Gassen:</t>
  </si>
  <si>
    <t>Bron emissiefactor:</t>
  </si>
  <si>
    <t>Resultaat</t>
  </si>
  <si>
    <t>Totaal :</t>
  </si>
  <si>
    <t>Totale besparing CO2/jaar</t>
  </si>
  <si>
    <t>Totale toename CO2/jaar</t>
  </si>
  <si>
    <t>ton CO2</t>
  </si>
  <si>
    <t>Gevraagde subsidie:</t>
  </si>
  <si>
    <t>euro</t>
  </si>
  <si>
    <t>euro/ton CO2</t>
  </si>
  <si>
    <t>Lachgas N2O</t>
  </si>
  <si>
    <t>wtw</t>
  </si>
  <si>
    <t>kg (WTW)</t>
  </si>
  <si>
    <t>Eenheid TTW (Tank To Wheel), tenzij anders aangegeven!</t>
  </si>
  <si>
    <t>Selecteer en houtige brandstof (indien van toepassing)</t>
  </si>
  <si>
    <t>jaar</t>
  </si>
  <si>
    <t xml:space="preserve">Maximale levenduurperiode voor bereken van de CO2 tbv kosten effectiviteit </t>
  </si>
  <si>
    <t>Kosten CO2</t>
  </si>
  <si>
    <t>Euro/ton</t>
  </si>
  <si>
    <t xml:space="preserve">Let op! Kosteneffectiviteit mag maximaal </t>
  </si>
  <si>
    <t>Levensduur van de investering tbv de CO2 berekening is maximaal</t>
  </si>
  <si>
    <t>Vul een brandstof in die niet in de bovenstaande selectie voorkomt</t>
  </si>
  <si>
    <r>
      <t xml:space="preserve">Brandstof niet uit de lijst : </t>
    </r>
    <r>
      <rPr>
        <b/>
        <sz val="11"/>
        <color rgb="FFFF0000"/>
        <rFont val="Calibri"/>
        <family val="2"/>
        <scheme val="minor"/>
      </rPr>
      <t>Vul in!</t>
    </r>
  </si>
  <si>
    <t>Kosteneffectiviteit</t>
  </si>
  <si>
    <t>concept</t>
  </si>
  <si>
    <t>Selecteer een gassoort (indien van toepassing)</t>
  </si>
  <si>
    <t>Vul hier de verbruiken in van elektriciteit afgenomen van het "openbare" net.</t>
  </si>
  <si>
    <t>Houtige biobrandstoffen uit NL:</t>
  </si>
  <si>
    <t>Overige brandstof:</t>
  </si>
  <si>
    <t>Elektriciteit:</t>
  </si>
  <si>
    <t>Wat is de levensduur van de installatie in jaren. (max 15 jr.)</t>
  </si>
  <si>
    <t>DEI+</t>
  </si>
  <si>
    <t>fbk</t>
  </si>
  <si>
    <t>Wie</t>
  </si>
  <si>
    <t>Opmerking</t>
  </si>
  <si>
    <t>conversie factoren aangepast op verzoek van Freek (groen gas etc)</t>
  </si>
  <si>
    <t>Aantal equivalent vollasturen</t>
  </si>
  <si>
    <t>uur</t>
  </si>
  <si>
    <t>6 thema Hernieuwbare energie ZON</t>
  </si>
  <si>
    <t>Hier geldt minimaal 15kWpiek</t>
  </si>
  <si>
    <t>(conform SDE)</t>
  </si>
  <si>
    <t>Max aantal equivalent vollast uren</t>
  </si>
  <si>
    <t>Home | CO2 emissiefactoren</t>
  </si>
  <si>
    <t>1.1</t>
  </si>
  <si>
    <t>Onderscheid tussen verbruik en productie maken Tabellen aangepast</t>
  </si>
  <si>
    <t>Verbruik</t>
  </si>
  <si>
    <t>Productie</t>
  </si>
  <si>
    <t>Productie / jaar</t>
  </si>
  <si>
    <t>Productie /jaar</t>
  </si>
  <si>
    <r>
      <t xml:space="preserve">Totale CO2 </t>
    </r>
    <r>
      <rPr>
        <b/>
        <sz val="11"/>
        <color rgb="FFFF0000"/>
        <rFont val="Calibri"/>
        <family val="2"/>
        <scheme val="minor"/>
      </rPr>
      <t>besparing</t>
    </r>
    <r>
      <rPr>
        <b/>
        <sz val="11"/>
        <color theme="1"/>
        <rFont val="Calibri"/>
        <family val="2"/>
        <scheme val="minor"/>
      </rPr>
      <t xml:space="preserve"> over de opgegeven periode van </t>
    </r>
  </si>
  <si>
    <r>
      <t xml:space="preserve">Totale CO2 </t>
    </r>
    <r>
      <rPr>
        <b/>
        <sz val="11"/>
        <color rgb="FFFF0000"/>
        <rFont val="Calibri"/>
        <family val="2"/>
        <scheme val="minor"/>
      </rPr>
      <t>toename</t>
    </r>
    <r>
      <rPr>
        <b/>
        <sz val="11"/>
        <color theme="1"/>
        <rFont val="Calibri"/>
        <family val="2"/>
        <scheme val="minor"/>
      </rPr>
      <t xml:space="preserve"> over de opgegeven periode van </t>
    </r>
  </si>
  <si>
    <t>Bij processen kunnen bijstromen ontstaan (productie),</t>
  </si>
  <si>
    <t>van die stromen moet de CO2 uitstoot worden meegenomen!</t>
  </si>
  <si>
    <t>kg CO2/eenheid</t>
  </si>
  <si>
    <t>Concept</t>
  </si>
  <si>
    <t>1.2</t>
  </si>
  <si>
    <t xml:space="preserve">tab  rekenmodel regel 33 toegevoegd in tekst: "Wind" </t>
  </si>
  <si>
    <t>Vul in het vermogen kW(piek) en het max aantal equivalent vollasturen van toepassing bij thema hernieuwbaar</t>
  </si>
  <si>
    <t>Hernieuwbare elektriciteit</t>
  </si>
  <si>
    <t>kW(Piek)</t>
  </si>
  <si>
    <t>Hernieuwbare elektriciteit &gt; factor</t>
  </si>
  <si>
    <t>Voor DEI+ 2024 geldt de factor van 2030! In 2025 aangepast naar 0,14</t>
  </si>
  <si>
    <t>1.3</t>
  </si>
  <si>
    <t>fsm</t>
  </si>
  <si>
    <t>indien ja…</t>
  </si>
  <si>
    <t>Beschrijving bestaande situatie</t>
  </si>
  <si>
    <t>Beschrijving nieuwe situatie (na uitvoering project)</t>
  </si>
  <si>
    <t>Verandert het project het energieverbruik in uw bedrijf/productieproces?</t>
  </si>
  <si>
    <t>ja/nee</t>
  </si>
  <si>
    <t>vul tabel 1 in</t>
  </si>
  <si>
    <t>Verbruikt u na uitvoering van het project minder grondstoffen of hulpstoffen per eenheid eindproduct?</t>
  </si>
  <si>
    <t>vul tabel 2 in</t>
  </si>
  <si>
    <t>Vervangt uw project primaire (schone/nieuwe) grondstoffen door secundaire (gerecyclede) grondstoffen?</t>
  </si>
  <si>
    <t>vul tabel 3 in</t>
  </si>
  <si>
    <t>Richt uw project zich op inzamelen, sorteren, recyclen of hergebruik van reststromen?</t>
  </si>
  <si>
    <t>vul tabel 4a en 4b in</t>
  </si>
  <si>
    <t>DEI+ thema Circulaire Economie</t>
  </si>
  <si>
    <t>tabel 1: Eigen energieverbruik van de aanvrager</t>
  </si>
  <si>
    <t>blad toegevoegd voor CE en elektriciteit naar 0,14</t>
  </si>
  <si>
    <t>tabel 2: verminderen verbruik grond- en hulpstoffen</t>
  </si>
  <si>
    <t>Beschrijving ingezette grondstof, hulpstof of andere hulpbron</t>
  </si>
  <si>
    <t>CO2-voetafdruk (kg Co2/kg materiaal)</t>
  </si>
  <si>
    <t>Verbruik/ jaar</t>
  </si>
  <si>
    <t>Bronvermelding CO2-voetafdruk</t>
  </si>
  <si>
    <t>kg/jaar</t>
  </si>
  <si>
    <t>tabel 3 vervanging van primaire door secundaire grondstoffen</t>
  </si>
  <si>
    <t>Beschrijving ingezette primaire of secundaire grondstoffen</t>
  </si>
  <si>
    <t>primaire grondstof</t>
  </si>
  <si>
    <t>secundaire grondstof</t>
  </si>
  <si>
    <t>tabel 4a en 4b: gescheiden inzameling, sortering recycling en hergebruik</t>
  </si>
  <si>
    <t>4a gebruikte reststromen</t>
  </si>
  <si>
    <t>Welke reststromen gaat u recyclen of hergebruiken?</t>
  </si>
  <si>
    <t>CO2-voetafdruk van de huidige verwerkingsmethode (kg CO2/kg materiaal)</t>
  </si>
  <si>
    <t>Hoeveel restmateriaal gaat u jaarlijks in uw project recyclen of hergebruiken (kg/jaar)</t>
  </si>
  <si>
    <t>Bespaarde emissie</t>
  </si>
  <si>
    <t>4b Vervanging van primaire (schone) grondstoffen</t>
  </si>
  <si>
    <t>Welke primaire grondstoffen worden in uw project vervangen?</t>
  </si>
  <si>
    <t>Beschrijving gangbare productieproces voor deze grondstoffen (bijvoorbeeld chemisch proces uit aardolie, productie uit erts, etc)</t>
  </si>
  <si>
    <t>CO2-voetafdruk van de huidige productiemethode (kg CO2/kg materiaal)</t>
  </si>
  <si>
    <t>Hoeveel primaire grondstoffen worden jaarlijks door uw project vervangen (kg/jaar)</t>
  </si>
  <si>
    <t>Emissies</t>
  </si>
  <si>
    <t>Er zijn aparte tabbladen voor:</t>
  </si>
  <si>
    <t>Vastlegging / jaar</t>
  </si>
  <si>
    <t>Vastlegging /jaar</t>
  </si>
  <si>
    <t>Atmosferische CO2</t>
  </si>
  <si>
    <t>DEI+ thema CCS &amp; NegEm</t>
  </si>
  <si>
    <t>Resultaat Negatieve emissies</t>
  </si>
  <si>
    <t>Bruto vastlegging CO2/jaar</t>
  </si>
  <si>
    <t>Bruto besparing CO2/jaar</t>
  </si>
  <si>
    <t>Totaal verbruik :</t>
  </si>
  <si>
    <t>Resultaat CCS (fossiel)</t>
  </si>
  <si>
    <t>DEI+ thema CCU</t>
  </si>
  <si>
    <t>Hergebruik CO2</t>
  </si>
  <si>
    <t>Beschrijving gangbare verwerkingsmethode (bijvoorbeeld verbranding, compostering)</t>
  </si>
  <si>
    <t>Beschrijving ingezette primaire of secundaire grondstoffen (Gangbare methode vs. CCU methode)</t>
  </si>
  <si>
    <t>CO2-voetafdruk (kg CO2/kg materiaal)</t>
  </si>
  <si>
    <t>1.4</t>
  </si>
  <si>
    <t>Yvette van Beek</t>
  </si>
  <si>
    <t>tabbladen CCS en CCU toegevoegd</t>
  </si>
  <si>
    <t>CO2 factor voor DEI+ 2025 is 0,14 KgCO2/kWh</t>
  </si>
  <si>
    <t>Energiebesparing en HE</t>
  </si>
  <si>
    <t>Circulaire Economie</t>
  </si>
  <si>
    <t>CCS en Negatieve Emissies</t>
  </si>
  <si>
    <t>CCU</t>
  </si>
  <si>
    <t>Fred van den Brink</t>
  </si>
  <si>
    <t xml:space="preserve">diverse formule aanpassingen </t>
  </si>
  <si>
    <t>Biogene CO2</t>
  </si>
  <si>
    <t>Kortcyclische CO2</t>
  </si>
  <si>
    <t>Langcyclische CO2</t>
  </si>
  <si>
    <t>Fossiele CO2</t>
  </si>
  <si>
    <t>Vastlegging CO2</t>
  </si>
  <si>
    <t xml:space="preserve">Vul in </t>
  </si>
  <si>
    <t>Totale vastlegging CO2/jaar</t>
  </si>
  <si>
    <t>Verbruik proces</t>
  </si>
  <si>
    <t xml:space="preserve">Toelichting: vul hier het verbruik van het beoogde proces in. Neem hier enkel het proces dat u gaat opzetten en vergelijk deze met een relevante referentie. </t>
  </si>
  <si>
    <t xml:space="preserve">Toelichting: geef aan wat de voetafdruk is van de gangbare methode voor de grondstoffen van uw proces. Geef vervolgens aan wat de voetafdruk van de grondstoffen in uw nieuwe proces is. </t>
  </si>
  <si>
    <t>Instructies voor de thema's Circulaire Economie, CCS en Negatieve Emissies en CCU vindt u in het werkblad zelf in rood</t>
  </si>
  <si>
    <t xml:space="preserve">Toelichting in CCS tabblad per onderdeel. Foutmelding uit vastlegging onderdeel gehaald. Tekst gewijzigd bij resultaten en hier zelf "totale vastlegging" ingevuld bij B37; Tabblad CCU: toelichting per onderdeel. Verwijzing naar toelichting onder tabblad toelichting. </t>
  </si>
  <si>
    <t>c. CCS en Negatieve Emissies (thema 2.3)</t>
  </si>
  <si>
    <t>d. CCU (thema 2.3)</t>
  </si>
  <si>
    <t>b. Circulaire Economie (thema 2.5 en circulaire projecten uit thema 2.10 vergassing reststromen)</t>
  </si>
  <si>
    <t>a. Energieprojecten en overige thema's, inclusief waterstof</t>
  </si>
  <si>
    <t>Voor het berekenen van de CO2-uitstoot voor Energie en overige thema's gaat u als volgt te werk:</t>
  </si>
  <si>
    <t>Info</t>
  </si>
  <si>
    <t>Link naar bron</t>
  </si>
  <si>
    <t>Tools incl. database</t>
  </si>
  <si>
    <t>LCA Tools in excel - Sustainability Impact Metrics (ecocostsvalue.com)</t>
  </si>
  <si>
    <t>IDEMAT is een gratis tool waarin u ecokosten en CO2 impacts kunt vinden. Deze is te vinden als excel sheet onder het tablad "Idemat2024 db (simple)", of als app in de appstore.</t>
  </si>
  <si>
    <t>FOOTPRINTCALC - Free product footprint calculator</t>
  </si>
  <si>
    <t>FOOTPRINTCALC is een gratis excel tool waarmee u de milieu impact van producten kunt berekenen en vergelijken door het opstellen van verschillende scenario's.</t>
  </si>
  <si>
    <t>Literatuurdata</t>
  </si>
  <si>
    <t>CE Delft - CO2 winst kunststof recyclaat</t>
  </si>
  <si>
    <t xml:space="preserve">Materialen en halffabrikaten - Kunststoffen en recyclaat </t>
  </si>
  <si>
    <t>JRC Publications Repository - Greenhouse gas emission intensities of the steel, fertilisers, aluminium and cement industries in the EU and its main trading partners (europa.eu)</t>
  </si>
  <si>
    <t>GHG emissies van de staal, mest, aluminium, en cement industrieën in de EU.</t>
  </si>
  <si>
    <t>EPDs</t>
  </si>
  <si>
    <t>Milieudatabase Milieuverklaringen</t>
  </si>
  <si>
    <t>EPD bouwproducten; bevat CO2 footprint informatie maar vereist expert kennis of softwaretools om info uit te lezen</t>
  </si>
  <si>
    <t>ECO PORTAL - Eco Platform en (eco-platform.org)</t>
  </si>
  <si>
    <t>EPD Library | EPD International (environdec.com)</t>
  </si>
  <si>
    <t>Environdec (EPD operator); bevat naast bouwproducten ook footprint informatie over andere cmmerciele producten, b.v. garens; uitlezen van data vereist expert kennis</t>
  </si>
  <si>
    <t>Database</t>
  </si>
  <si>
    <t>Lijst emissiefactoren | CO2 emissiefactoren</t>
  </si>
  <si>
    <t>CO2 emissiefactoren van energiedragers</t>
  </si>
  <si>
    <t>Distributie &amp; Logistiek - CO2 emissiefactoren Transport &amp; brandstoffen</t>
  </si>
  <si>
    <t>CE Delft - STREAM Goederenvervoer</t>
  </si>
  <si>
    <t>Distributie &amp; Logistiek - CO2 data goederenvervoer</t>
  </si>
  <si>
    <t>CE Delft</t>
  </si>
  <si>
    <t>Einde levensfase - CO2 emissie  afvalverwerkingsroutes</t>
  </si>
  <si>
    <t>Bronvermelding CO2-voetafdruk: zie tabblad 'bronnen' voor suggesties</t>
  </si>
  <si>
    <t>Bronvermelding CO2-voetafdruk: zie tabblad 'bronnen'voor suggesties</t>
  </si>
  <si>
    <t>Subtotaal verbruik :</t>
  </si>
  <si>
    <t>Aangevuld / aangepast  formules verwijzingen optellingen en vormgeving, cellen beveiligd en onbeveiligd</t>
  </si>
  <si>
    <t xml:space="preserve">Beveiligde versie getest, nog enkele foutmeldingen aangepast in formules. </t>
  </si>
  <si>
    <t>kopie</t>
  </si>
  <si>
    <t xml:space="preserve">Toelichting: vul het aandeel kortcyclische en langcyclische CO2 in dat u in uw project vastlegt. </t>
  </si>
  <si>
    <t>Toelichting: vul hier het energievebruik van uw proces in. Neem hierbij alle ketenaspecten mee in het geval van negatieve emissies.</t>
  </si>
  <si>
    <t>Toelichting: bereken hier hoeveel energie u gebruikt in uw eigen proces, vóór en na uitvoering van het project waarvoor u subsidie aanvraagt.</t>
  </si>
  <si>
    <t>Toelichting: vul hier in hoeveel primaire en secundaire grondstoffen u verbruikt in uw eigen proces, vóór en na uitvoering van het project. Vul ook de CO2-voetafdruk in. Vermeld de bron waar u de CO2-voetafdruk op baseert. Zie tabblad 'bronnen' voor suggesties. Voorkom dat u dubbelt met tabel 2.</t>
  </si>
  <si>
    <t>Als u materiaal gaat recyclen of hergebruiken vult u onderstaande tabellen in. Ook als u materiaal inzamelt of sorteert voor reycling of hergebruik vult u deze tabellen in. In tabel 4a berekent u de CO2-reductie die u bereikt door reststromen voor een betere toepassing in te zetten. In tabel 4b berekent u de CO2-reductie die u bereikt door schone grondstoffen of producten te vervangen door gerecyclede. Vermeld de bronnen waarop u de getallen baseert. Zie tabblad 'bronnen' voor suggesties.</t>
  </si>
  <si>
    <t>testen van het model, toevoegen waarschuwing 15 kW(piek). Toelichting bijgewerkt in CCS/NegEm. Tekst bij resultaat zwart gemaakt. Waarschuwing NegEm (kan niet hoger dan bruto waarde zijn).</t>
  </si>
  <si>
    <t xml:space="preserve">1.5 </t>
  </si>
  <si>
    <t>beveiligd</t>
  </si>
  <si>
    <t>Freek Smedema</t>
  </si>
  <si>
    <t>beveiligd en tabbladen verborgen</t>
  </si>
  <si>
    <t>s</t>
  </si>
  <si>
    <t>1.5</t>
  </si>
  <si>
    <t>Laatste correctie in CCS tabblad wat betreft verwoording en regels in resultaat.</t>
  </si>
  <si>
    <r>
      <t xml:space="preserve">Brandstof niet uit de lijst : </t>
    </r>
    <r>
      <rPr>
        <b/>
        <sz val="11"/>
        <color rgb="FFD52B1E"/>
        <rFont val="Calibri"/>
        <family val="2"/>
        <scheme val="minor"/>
      </rPr>
      <t>Vul in!</t>
    </r>
  </si>
  <si>
    <r>
      <rPr>
        <sz val="11"/>
        <color rgb="FFD52B1E"/>
        <rFont val="Calibri"/>
        <family val="2"/>
        <scheme val="minor"/>
      </rPr>
      <t>Toelichting: vul hier in hoeveel grondstoffen, hulpstoffen en andere hulpbronnen u verbruikt in uw eigen proces, vóór en na uitvoering van het project. Vul ook de CO2-voetafdruk in. Energieverbruik vult u in tabel 1 in. Vermeld de bron waar u de CO2-voetafdruk op baseert.</t>
    </r>
    <r>
      <rPr>
        <sz val="11"/>
        <color rgb="FFFF0000"/>
        <rFont val="Calibri"/>
        <family val="2"/>
        <scheme val="minor"/>
      </rPr>
      <t xml:space="preserve"> Zie tabblad 'bronnen' voor suggesties.</t>
    </r>
  </si>
  <si>
    <r>
      <t xml:space="preserve">Rekensheet Energie en overige thema's is opgedeeld in </t>
    </r>
    <r>
      <rPr>
        <b/>
        <sz val="11"/>
        <color rgb="FFD52B1E"/>
        <rFont val="Calibri"/>
        <family val="2"/>
        <scheme val="minor"/>
      </rPr>
      <t>Verbruik</t>
    </r>
    <r>
      <rPr>
        <sz val="11"/>
        <color theme="1"/>
        <rFont val="Calibri"/>
        <family val="2"/>
        <scheme val="minor"/>
      </rPr>
      <t xml:space="preserve"> en </t>
    </r>
    <r>
      <rPr>
        <b/>
        <sz val="11"/>
        <color rgb="FFD52B1E"/>
        <rFont val="Calibri"/>
        <family val="2"/>
        <scheme val="minor"/>
      </rPr>
      <t>Productie</t>
    </r>
  </si>
  <si>
    <t>Beantwoord onderstaande vragen en  vul waar van toepassing onderstaande tabellen in. Voorkom dat u dezelfde emissie(reductie) meerdere keren meetelt.</t>
  </si>
  <si>
    <t>1.6</t>
  </si>
  <si>
    <t>beveilgd</t>
  </si>
  <si>
    <t>Laatste toets na WCAG-aanpassingen door Wietse Feenstra</t>
  </si>
  <si>
    <t>Versie D 1.6 -  20 januari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</si>
</sst>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00"/>
    <numFmt numFmtId="165" formatCode="_ * #,##0.000_ ;_ * \-#,##0.000_ ;_ * &quot;-&quot;??_ ;_ @_ "/>
    <numFmt numFmtId="166" formatCode="_ * #,##0.0_ ;_ * \-#,##0.0_ ;_ * &quot;-&quot;??_ ;_ @_ "/>
    <numFmt numFmtId="167" formatCode="_ * #,##0_ ;_ * \-#,##0_ ;_ * &quot;-&quot;??_ ;_ @_ "/>
    <numFmt numFmtId="168" formatCode="#,##0.000_ ;\-#,##0.000\ "/>
  </numFmts>
  <fonts count="34" x14ac:knownFonts="1">
    <font>
      <sz val="11"/>
      <color theme="1"/>
      <name val="Calibri"/>
      <family val="2"/>
      <scheme val="minor"/>
    </font>
    <font>
      <b/>
      <sz val="11"/>
      <color theme="1"/>
      <name val="Calibri"/>
      <family val="2"/>
      <scheme val="minor"/>
    </font>
    <font>
      <b/>
      <sz val="20"/>
      <color theme="1"/>
      <name val="Calibri"/>
      <family val="2"/>
      <scheme val="minor"/>
    </font>
    <font>
      <sz val="11"/>
      <color rgb="FF0000FF"/>
      <name val="Calibri"/>
      <family val="2"/>
      <scheme val="minor"/>
    </font>
    <font>
      <b/>
      <sz val="11"/>
      <color rgb="FF0000FF"/>
      <name val="Calibri"/>
      <family val="2"/>
      <scheme val="minor"/>
    </font>
    <font>
      <b/>
      <sz val="9"/>
      <color theme="1"/>
      <name val="Verdana"/>
      <family val="2"/>
    </font>
    <font>
      <b/>
      <vertAlign val="subscript"/>
      <sz val="9"/>
      <color theme="1"/>
      <name val="Verdana"/>
      <family val="2"/>
    </font>
    <font>
      <sz val="9"/>
      <name val="Verdana"/>
      <family val="2"/>
    </font>
    <font>
      <sz val="11"/>
      <color theme="1"/>
      <name val="Calibri"/>
      <family val="2"/>
    </font>
    <font>
      <sz val="9"/>
      <color rgb="FFFF0000"/>
      <name val="Verdana"/>
      <family val="2"/>
    </font>
    <font>
      <b/>
      <sz val="9"/>
      <name val="Verdana"/>
      <family val="2"/>
    </font>
    <font>
      <sz val="11"/>
      <color theme="1"/>
      <name val="Calibri"/>
      <family val="2"/>
      <scheme val="minor"/>
    </font>
    <font>
      <b/>
      <sz val="11"/>
      <color rgb="FFFF0000"/>
      <name val="Calibri"/>
      <family val="2"/>
      <scheme val="minor"/>
    </font>
    <font>
      <b/>
      <i/>
      <sz val="11"/>
      <color rgb="FFFF0000"/>
      <name val="Calibri"/>
      <family val="2"/>
      <scheme val="minor"/>
    </font>
    <font>
      <b/>
      <sz val="12"/>
      <color theme="1"/>
      <name val="Calibri"/>
      <family val="2"/>
      <scheme val="minor"/>
    </font>
    <font>
      <b/>
      <sz val="18"/>
      <color theme="1"/>
      <name val="Calibri"/>
      <family val="2"/>
      <scheme val="minor"/>
    </font>
    <font>
      <b/>
      <sz val="9"/>
      <color theme="1"/>
      <name val="Calibri"/>
      <family val="2"/>
      <scheme val="minor"/>
    </font>
    <font>
      <sz val="8"/>
      <name val="Calibri"/>
      <family val="2"/>
      <scheme val="minor"/>
    </font>
    <font>
      <sz val="8"/>
      <color theme="1"/>
      <name val="Calibri"/>
      <family val="2"/>
      <scheme val="minor"/>
    </font>
    <font>
      <sz val="9"/>
      <color rgb="FFFF0000"/>
      <name val="Calibri"/>
      <family val="2"/>
      <scheme val="minor"/>
    </font>
    <font>
      <sz val="11"/>
      <name val="Calibri"/>
      <family val="2"/>
      <scheme val="minor"/>
    </font>
    <font>
      <b/>
      <sz val="14"/>
      <color theme="1"/>
      <name val="Calibri"/>
      <family val="2"/>
      <scheme val="minor"/>
    </font>
    <font>
      <b/>
      <sz val="10"/>
      <color theme="1"/>
      <name val="Calibri"/>
      <family val="2"/>
      <scheme val="minor"/>
    </font>
    <font>
      <sz val="9"/>
      <color theme="1"/>
      <name val="Verdana"/>
      <family val="2"/>
    </font>
    <font>
      <b/>
      <sz val="11"/>
      <color rgb="FF0070C0"/>
      <name val="Calibri"/>
      <family val="2"/>
      <scheme val="minor"/>
    </font>
    <font>
      <sz val="11"/>
      <color rgb="FFFF0000"/>
      <name val="Calibri"/>
      <family val="2"/>
      <scheme val="minor"/>
    </font>
    <font>
      <b/>
      <sz val="16"/>
      <color theme="1"/>
      <name val="Calibri"/>
      <family val="2"/>
      <scheme val="minor"/>
    </font>
    <font>
      <u/>
      <sz val="11"/>
      <color theme="10"/>
      <name val="Calibri"/>
      <family val="2"/>
      <scheme val="minor"/>
    </font>
    <font>
      <sz val="11"/>
      <color rgb="FFD52B1E"/>
      <name val="Calibri"/>
      <family val="2"/>
      <scheme val="minor"/>
    </font>
    <font>
      <sz val="11"/>
      <color rgb="FF242424"/>
      <name val="Aptos Narrow"/>
      <charset val="1"/>
    </font>
    <font>
      <b/>
      <sz val="8"/>
      <color rgb="FF0000FF"/>
      <name val="Calibri"/>
      <family val="2"/>
      <scheme val="minor"/>
    </font>
    <font>
      <b/>
      <sz val="11"/>
      <name val="Calibri"/>
      <family val="2"/>
      <scheme val="minor"/>
    </font>
    <font>
      <b/>
      <sz val="20"/>
      <color rgb="FF007BC7"/>
      <name val="RijksoverheidSansHeadingTT"/>
      <family val="2"/>
    </font>
    <font>
      <b/>
      <sz val="11"/>
      <color rgb="FFD52B1E"/>
      <name val="Calibri"/>
      <family val="2"/>
      <scheme val="minor"/>
    </font>
  </fonts>
  <fills count="15">
    <fill>
      <patternFill patternType="none"/>
    </fill>
    <fill>
      <patternFill patternType="gray125"/>
    </fill>
    <fill>
      <patternFill patternType="solid">
        <fgColor rgb="FF89B924"/>
        <bgColor indexed="64"/>
      </patternFill>
    </fill>
    <fill>
      <patternFill patternType="solid">
        <fgColor rgb="FF9BC34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
      <patternFill patternType="solid">
        <fgColor theme="1"/>
        <bgColor indexed="64"/>
      </patternFill>
    </fill>
    <fill>
      <patternFill patternType="solid">
        <fgColor rgb="FF00B0F0"/>
        <bgColor indexed="64"/>
      </patternFill>
    </fill>
    <fill>
      <patternFill patternType="solid">
        <fgColor theme="7"/>
        <bgColor indexed="64"/>
      </patternFill>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3" fontId="11" fillId="0" borderId="0" applyFont="0" applyFill="0" applyBorder="0" applyAlignment="0" applyProtection="0"/>
    <xf numFmtId="0" fontId="27" fillId="0" borderId="0" applyNumberFormat="0" applyFill="0" applyBorder="0" applyAlignment="0" applyProtection="0"/>
  </cellStyleXfs>
  <cellXfs count="316">
    <xf numFmtId="0" fontId="0" fillId="0" borderId="0" xfId="0"/>
    <xf numFmtId="0" fontId="1" fillId="0" borderId="0" xfId="0" applyFont="1"/>
    <xf numFmtId="0" fontId="2" fillId="0" borderId="0" xfId="0" applyFont="1"/>
    <xf numFmtId="0" fontId="0" fillId="0" borderId="1" xfId="0" applyBorder="1"/>
    <xf numFmtId="0" fontId="3" fillId="0" borderId="1" xfId="0" applyFont="1" applyBorder="1"/>
    <xf numFmtId="14" fontId="3" fillId="0" borderId="1" xfId="0" applyNumberFormat="1" applyFont="1" applyBorder="1"/>
    <xf numFmtId="0" fontId="0" fillId="0" borderId="0" xfId="0" applyAlignment="1">
      <alignment wrapText="1"/>
    </xf>
    <xf numFmtId="0" fontId="4" fillId="0" borderId="1" xfId="0" applyFont="1" applyBorder="1"/>
    <xf numFmtId="0" fontId="0" fillId="0" borderId="2" xfId="0" applyBorder="1"/>
    <xf numFmtId="0" fontId="1" fillId="0" borderId="3" xfId="0" applyFont="1" applyBorder="1"/>
    <xf numFmtId="0" fontId="1" fillId="0" borderId="4" xfId="0" applyFont="1" applyBorder="1"/>
    <xf numFmtId="0" fontId="1" fillId="0" borderId="5" xfId="0" applyFont="1" applyBorder="1" applyAlignment="1">
      <alignment wrapText="1"/>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5" fillId="2" borderId="0" xfId="0" applyFont="1" applyFill="1" applyAlignment="1">
      <alignment wrapText="1"/>
    </xf>
    <xf numFmtId="0" fontId="0" fillId="2" borderId="0" xfId="0" applyFill="1"/>
    <xf numFmtId="0" fontId="0" fillId="2" borderId="0" xfId="0" applyFill="1" applyAlignment="1">
      <alignment horizontal="left" wrapText="1"/>
    </xf>
    <xf numFmtId="0" fontId="0" fillId="2" borderId="0" xfId="0" applyFill="1" applyAlignment="1">
      <alignment wrapText="1"/>
    </xf>
    <xf numFmtId="0" fontId="5" fillId="3" borderId="0" xfId="0" applyFont="1" applyFill="1" applyAlignment="1">
      <alignment wrapText="1"/>
    </xf>
    <xf numFmtId="0" fontId="5" fillId="3" borderId="0" xfId="0" applyFont="1" applyFill="1" applyAlignment="1">
      <alignment horizontal="left" wrapText="1"/>
    </xf>
    <xf numFmtId="0" fontId="0" fillId="0" borderId="0" xfId="0" applyAlignment="1">
      <alignment horizontal="left" vertical="center"/>
    </xf>
    <xf numFmtId="0" fontId="7" fillId="0" borderId="0" xfId="0" applyFont="1"/>
    <xf numFmtId="0" fontId="5" fillId="0" borderId="1" xfId="0" applyFont="1" applyBorder="1" applyAlignment="1">
      <alignment wrapText="1"/>
    </xf>
    <xf numFmtId="164" fontId="0" fillId="0" borderId="1" xfId="0" applyNumberFormat="1" applyBorder="1"/>
    <xf numFmtId="0" fontId="0" fillId="0" borderId="1" xfId="0" applyBorder="1" applyAlignment="1">
      <alignment wrapText="1"/>
    </xf>
    <xf numFmtId="164" fontId="0" fillId="0" borderId="1" xfId="0" applyNumberFormat="1" applyBorder="1" applyAlignment="1">
      <alignment wrapText="1"/>
    </xf>
    <xf numFmtId="164" fontId="0" fillId="5" borderId="1" xfId="0" applyNumberFormat="1" applyFill="1" applyBorder="1"/>
    <xf numFmtId="0" fontId="0" fillId="5" borderId="1" xfId="0" applyFill="1" applyBorder="1"/>
    <xf numFmtId="164" fontId="7" fillId="5" borderId="0" xfId="0" applyNumberFormat="1" applyFont="1" applyFill="1"/>
    <xf numFmtId="164" fontId="7" fillId="0" borderId="0" xfId="0" applyNumberFormat="1" applyFont="1"/>
    <xf numFmtId="0" fontId="0" fillId="5" borderId="1" xfId="0" applyFill="1" applyBorder="1" applyAlignment="1">
      <alignment wrapText="1"/>
    </xf>
    <xf numFmtId="0" fontId="7" fillId="5" borderId="1" xfId="0" applyFont="1" applyFill="1" applyBorder="1" applyAlignment="1">
      <alignment wrapText="1"/>
    </xf>
    <xf numFmtId="0" fontId="0" fillId="0" borderId="13" xfId="0" applyBorder="1" applyAlignment="1">
      <alignment horizontal="left"/>
    </xf>
    <xf numFmtId="0" fontId="0" fillId="0" borderId="15" xfId="0" applyBorder="1" applyAlignment="1">
      <alignment horizontal="left"/>
    </xf>
    <xf numFmtId="164" fontId="7" fillId="5" borderId="1" xfId="0" applyNumberFormat="1" applyFont="1" applyFill="1" applyBorder="1"/>
    <xf numFmtId="0" fontId="7" fillId="5" borderId="1" xfId="0" applyFont="1" applyFill="1" applyBorder="1"/>
    <xf numFmtId="2" fontId="0" fillId="5" borderId="1" xfId="0" applyNumberFormat="1" applyFill="1" applyBorder="1" applyAlignment="1">
      <alignment wrapText="1"/>
    </xf>
    <xf numFmtId="0" fontId="5" fillId="4" borderId="1" xfId="0" applyFont="1" applyFill="1" applyBorder="1" applyAlignment="1">
      <alignment wrapText="1"/>
    </xf>
    <xf numFmtId="0" fontId="8" fillId="0" borderId="0" xfId="0" applyFont="1" applyAlignment="1">
      <alignment vertical="center"/>
    </xf>
    <xf numFmtId="0" fontId="7" fillId="0" borderId="1" xfId="0" applyFont="1" applyBorder="1"/>
    <xf numFmtId="0" fontId="7" fillId="0" borderId="0" xfId="0" applyFont="1" applyAlignment="1">
      <alignment wrapText="1"/>
    </xf>
    <xf numFmtId="0" fontId="5" fillId="0" borderId="0" xfId="0" applyFont="1" applyAlignment="1">
      <alignment wrapText="1"/>
    </xf>
    <xf numFmtId="0" fontId="0" fillId="0" borderId="0" xfId="0" applyAlignment="1">
      <alignment vertical="top"/>
    </xf>
    <xf numFmtId="0" fontId="10" fillId="0" borderId="0" xfId="0" applyFont="1" applyAlignment="1">
      <alignment wrapText="1"/>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applyAlignment="1">
      <alignment wrapText="1"/>
    </xf>
    <xf numFmtId="0" fontId="0" fillId="0" borderId="24" xfId="0" applyBorder="1"/>
    <xf numFmtId="0" fontId="0" fillId="0" borderId="25" xfId="0" applyBorder="1"/>
    <xf numFmtId="0" fontId="0" fillId="0" borderId="26" xfId="0" applyBorder="1"/>
    <xf numFmtId="164" fontId="3" fillId="0" borderId="1" xfId="0" applyNumberFormat="1" applyFont="1" applyBorder="1"/>
    <xf numFmtId="164" fontId="3" fillId="5" borderId="1" xfId="0" applyNumberFormat="1" applyFont="1" applyFill="1" applyBorder="1"/>
    <xf numFmtId="164" fontId="3" fillId="0" borderId="0" xfId="0" applyNumberFormat="1" applyFont="1"/>
    <xf numFmtId="0" fontId="0" fillId="0" borderId="13" xfId="0" applyBorder="1"/>
    <xf numFmtId="0" fontId="0" fillId="0" borderId="28" xfId="0" applyBorder="1"/>
    <xf numFmtId="14" fontId="0" fillId="0" borderId="0" xfId="0" applyNumberFormat="1"/>
    <xf numFmtId="0" fontId="4" fillId="5" borderId="6" xfId="0" applyFont="1" applyFill="1" applyBorder="1"/>
    <xf numFmtId="0" fontId="13" fillId="0" borderId="0" xfId="0" applyFont="1"/>
    <xf numFmtId="165" fontId="0" fillId="0" borderId="0" xfId="1" applyNumberFormat="1" applyFont="1"/>
    <xf numFmtId="167" fontId="3" fillId="0" borderId="0" xfId="1" applyNumberFormat="1" applyFont="1"/>
    <xf numFmtId="167" fontId="0" fillId="0" borderId="0" xfId="1" applyNumberFormat="1" applyFont="1"/>
    <xf numFmtId="0" fontId="0" fillId="0" borderId="30" xfId="0" applyBorder="1"/>
    <xf numFmtId="0" fontId="14" fillId="0" borderId="0" xfId="0" applyFont="1"/>
    <xf numFmtId="0" fontId="1" fillId="0" borderId="19" xfId="0" applyFont="1" applyBorder="1"/>
    <xf numFmtId="0" fontId="0" fillId="0" borderId="20" xfId="0" applyBorder="1" applyAlignment="1">
      <alignment wrapText="1"/>
    </xf>
    <xf numFmtId="0" fontId="1" fillId="0" borderId="25" xfId="0" applyFont="1" applyBorder="1"/>
    <xf numFmtId="167" fontId="1" fillId="0" borderId="1" xfId="1" applyNumberFormat="1" applyFont="1" applyBorder="1"/>
    <xf numFmtId="167" fontId="1" fillId="0" borderId="0" xfId="1" applyNumberFormat="1" applyFont="1" applyFill="1" applyBorder="1"/>
    <xf numFmtId="0" fontId="0" fillId="9" borderId="0" xfId="0" applyFill="1"/>
    <xf numFmtId="166" fontId="3" fillId="0" borderId="1" xfId="1" applyNumberFormat="1" applyFont="1" applyBorder="1"/>
    <xf numFmtId="0" fontId="0" fillId="0" borderId="27" xfId="0" applyBorder="1"/>
    <xf numFmtId="0" fontId="1" fillId="0" borderId="32" xfId="0" applyFont="1" applyBorder="1"/>
    <xf numFmtId="0" fontId="1" fillId="0" borderId="33" xfId="0" applyFont="1" applyBorder="1"/>
    <xf numFmtId="0" fontId="1" fillId="0" borderId="34" xfId="0" applyFont="1" applyBorder="1"/>
    <xf numFmtId="0" fontId="17" fillId="7" borderId="35" xfId="0" applyFont="1" applyFill="1" applyBorder="1" applyAlignment="1">
      <alignment horizontal="center" vertical="center" wrapText="1"/>
    </xf>
    <xf numFmtId="0" fontId="1" fillId="0" borderId="28" xfId="0" applyFont="1" applyBorder="1" applyAlignment="1">
      <alignment horizontal="center"/>
    </xf>
    <xf numFmtId="0" fontId="18" fillId="5" borderId="29" xfId="0" applyFont="1" applyFill="1" applyBorder="1" applyAlignment="1">
      <alignment horizontal="center"/>
    </xf>
    <xf numFmtId="0" fontId="15" fillId="11" borderId="28" xfId="0" applyFont="1" applyFill="1" applyBorder="1"/>
    <xf numFmtId="167" fontId="3" fillId="0" borderId="0" xfId="1" applyNumberFormat="1" applyFont="1" applyFill="1" applyBorder="1" applyProtection="1"/>
    <xf numFmtId="165" fontId="0" fillId="0" borderId="0" xfId="1" applyNumberFormat="1" applyFont="1" applyBorder="1" applyProtection="1"/>
    <xf numFmtId="0" fontId="3" fillId="7" borderId="1" xfId="0" applyFont="1" applyFill="1" applyBorder="1" applyAlignment="1">
      <alignment wrapText="1"/>
    </xf>
    <xf numFmtId="0" fontId="5" fillId="0" borderId="21" xfId="0" applyFont="1" applyBorder="1" applyAlignment="1">
      <alignment wrapText="1"/>
    </xf>
    <xf numFmtId="0" fontId="0" fillId="0" borderId="36" xfId="0" applyBorder="1" applyAlignment="1">
      <alignment horizontal="left"/>
    </xf>
    <xf numFmtId="0" fontId="0" fillId="0" borderId="37" xfId="0" applyBorder="1" applyAlignment="1">
      <alignment horizontal="left"/>
    </xf>
    <xf numFmtId="164" fontId="3" fillId="0" borderId="8" xfId="0" applyNumberFormat="1" applyFont="1" applyBorder="1"/>
    <xf numFmtId="164" fontId="0" fillId="0" borderId="36" xfId="0" applyNumberFormat="1" applyBorder="1"/>
    <xf numFmtId="0" fontId="0" fillId="0" borderId="1" xfId="0" applyBorder="1" applyAlignment="1">
      <alignment horizontal="left"/>
    </xf>
    <xf numFmtId="0" fontId="3" fillId="0" borderId="1" xfId="0" applyFont="1" applyBorder="1" applyAlignment="1">
      <alignment wrapText="1"/>
    </xf>
    <xf numFmtId="164" fontId="3" fillId="0" borderId="27" xfId="0" applyNumberFormat="1" applyFont="1" applyBorder="1"/>
    <xf numFmtId="0" fontId="5" fillId="3" borderId="1" xfId="0" applyFont="1" applyFill="1" applyBorder="1" applyAlignment="1">
      <alignment wrapText="1"/>
    </xf>
    <xf numFmtId="0" fontId="7" fillId="0" borderId="1" xfId="0" applyFont="1" applyBorder="1" applyAlignment="1">
      <alignment wrapText="1"/>
    </xf>
    <xf numFmtId="0" fontId="0" fillId="6" borderId="1" xfId="0" applyFill="1" applyBorder="1"/>
    <xf numFmtId="0" fontId="21" fillId="0" borderId="1" xfId="0" applyFont="1" applyBorder="1"/>
    <xf numFmtId="0" fontId="21" fillId="0" borderId="19" xfId="0" applyFont="1" applyBorder="1"/>
    <xf numFmtId="0" fontId="1" fillId="0" borderId="38" xfId="0" applyFont="1" applyBorder="1" applyAlignment="1">
      <alignment wrapText="1"/>
    </xf>
    <xf numFmtId="0" fontId="0" fillId="0" borderId="39" xfId="0" applyBorder="1"/>
    <xf numFmtId="0" fontId="3" fillId="6" borderId="1" xfId="0" applyFont="1" applyFill="1" applyBorder="1"/>
    <xf numFmtId="0" fontId="20" fillId="6" borderId="1" xfId="0" applyFont="1" applyFill="1" applyBorder="1"/>
    <xf numFmtId="0" fontId="22" fillId="0" borderId="0" xfId="0" applyFont="1" applyAlignment="1">
      <alignment wrapText="1"/>
    </xf>
    <xf numFmtId="1" fontId="3" fillId="0" borderId="1" xfId="0" applyNumberFormat="1" applyFont="1" applyBorder="1"/>
    <xf numFmtId="0" fontId="23" fillId="0" borderId="0" xfId="0" applyFont="1" applyAlignment="1">
      <alignment wrapText="1"/>
    </xf>
    <xf numFmtId="0" fontId="3" fillId="5" borderId="28" xfId="0" applyFont="1" applyFill="1" applyBorder="1" applyAlignment="1" applyProtection="1">
      <alignment wrapText="1"/>
      <protection locked="0"/>
    </xf>
    <xf numFmtId="167" fontId="19" fillId="0" borderId="0" xfId="1" applyNumberFormat="1" applyFont="1" applyFill="1" applyBorder="1" applyAlignment="1" applyProtection="1">
      <alignment horizontal="center" wrapText="1"/>
    </xf>
    <xf numFmtId="167" fontId="0" fillId="0" borderId="0" xfId="1" applyNumberFormat="1" applyFont="1" applyFill="1" applyBorder="1" applyProtection="1"/>
    <xf numFmtId="167" fontId="11" fillId="0" borderId="0" xfId="1" applyNumberFormat="1" applyFont="1" applyFill="1" applyBorder="1" applyProtection="1"/>
    <xf numFmtId="0" fontId="0" fillId="0" borderId="43" xfId="0" applyBorder="1"/>
    <xf numFmtId="167" fontId="3" fillId="5" borderId="28" xfId="1" applyNumberFormat="1" applyFont="1" applyFill="1" applyBorder="1" applyAlignment="1" applyProtection="1">
      <alignment wrapText="1"/>
      <protection locked="0"/>
    </xf>
    <xf numFmtId="0" fontId="0" fillId="0" borderId="44" xfId="0" applyBorder="1" applyAlignment="1">
      <alignment wrapText="1"/>
    </xf>
    <xf numFmtId="0" fontId="16" fillId="10" borderId="42" xfId="0" applyFont="1" applyFill="1" applyBorder="1"/>
    <xf numFmtId="0" fontId="16" fillId="10" borderId="29" xfId="0" applyFont="1" applyFill="1" applyBorder="1"/>
    <xf numFmtId="0" fontId="0" fillId="9" borderId="13" xfId="0" applyFill="1" applyBorder="1"/>
    <xf numFmtId="167" fontId="3" fillId="0" borderId="25" xfId="1" applyNumberFormat="1" applyFont="1" applyBorder="1"/>
    <xf numFmtId="167" fontId="3" fillId="0" borderId="0" xfId="1" applyNumberFormat="1" applyFont="1" applyBorder="1"/>
    <xf numFmtId="0" fontId="0" fillId="0" borderId="16" xfId="0" applyBorder="1"/>
    <xf numFmtId="0" fontId="3" fillId="7" borderId="46" xfId="0" applyFont="1" applyFill="1" applyBorder="1" applyAlignment="1" applyProtection="1">
      <alignment wrapText="1"/>
      <protection locked="0"/>
    </xf>
    <xf numFmtId="0" fontId="3" fillId="7" borderId="31" xfId="0" applyFont="1" applyFill="1" applyBorder="1" applyAlignment="1" applyProtection="1">
      <alignment wrapText="1"/>
      <protection locked="0"/>
    </xf>
    <xf numFmtId="0" fontId="3" fillId="7" borderId="28" xfId="0" applyFont="1" applyFill="1" applyBorder="1" applyAlignment="1" applyProtection="1">
      <alignment wrapText="1"/>
      <protection locked="0"/>
    </xf>
    <xf numFmtId="0" fontId="3" fillId="5" borderId="38" xfId="0" applyFont="1" applyFill="1" applyBorder="1" applyProtection="1">
      <protection locked="0"/>
    </xf>
    <xf numFmtId="168" fontId="3" fillId="5" borderId="28" xfId="1" applyNumberFormat="1" applyFont="1" applyFill="1" applyBorder="1" applyProtection="1">
      <protection locked="0"/>
    </xf>
    <xf numFmtId="0" fontId="0" fillId="9" borderId="45" xfId="0" applyFill="1" applyBorder="1"/>
    <xf numFmtId="0" fontId="0" fillId="9" borderId="15" xfId="0" applyFill="1" applyBorder="1"/>
    <xf numFmtId="167" fontId="3" fillId="5" borderId="46" xfId="1" applyNumberFormat="1" applyFont="1" applyFill="1" applyBorder="1" applyProtection="1">
      <protection locked="0"/>
    </xf>
    <xf numFmtId="167" fontId="3" fillId="5" borderId="31" xfId="1" applyNumberFormat="1" applyFont="1" applyFill="1" applyBorder="1" applyProtection="1">
      <protection locked="0"/>
    </xf>
    <xf numFmtId="167" fontId="3" fillId="5" borderId="28" xfId="1" applyNumberFormat="1" applyFont="1" applyFill="1" applyBorder="1" applyProtection="1">
      <protection locked="0"/>
    </xf>
    <xf numFmtId="0" fontId="0" fillId="9" borderId="14" xfId="0" applyFill="1" applyBorder="1"/>
    <xf numFmtId="167" fontId="3" fillId="5" borderId="32" xfId="1" applyNumberFormat="1" applyFont="1" applyFill="1" applyBorder="1" applyProtection="1">
      <protection locked="0"/>
    </xf>
    <xf numFmtId="0" fontId="0" fillId="9" borderId="33" xfId="0" applyFill="1" applyBorder="1"/>
    <xf numFmtId="167" fontId="3" fillId="5" borderId="34" xfId="1" applyNumberFormat="1" applyFont="1" applyFill="1" applyBorder="1" applyProtection="1">
      <protection locked="0"/>
    </xf>
    <xf numFmtId="0" fontId="0" fillId="9" borderId="47" xfId="0" applyFill="1" applyBorder="1"/>
    <xf numFmtId="1" fontId="0" fillId="0" borderId="28" xfId="0" applyNumberFormat="1" applyBorder="1" applyProtection="1">
      <protection hidden="1"/>
    </xf>
    <xf numFmtId="0" fontId="0" fillId="0" borderId="45" xfId="0" applyBorder="1" applyProtection="1">
      <protection hidden="1"/>
    </xf>
    <xf numFmtId="165" fontId="0" fillId="0" borderId="41" xfId="1" applyNumberFormat="1" applyFont="1" applyBorder="1" applyProtection="1">
      <protection hidden="1"/>
    </xf>
    <xf numFmtId="0" fontId="0" fillId="0" borderId="15" xfId="0" applyBorder="1" applyProtection="1">
      <protection hidden="1"/>
    </xf>
    <xf numFmtId="165" fontId="0" fillId="0" borderId="1" xfId="1" applyNumberFormat="1" applyFont="1" applyBorder="1" applyProtection="1">
      <protection hidden="1"/>
    </xf>
    <xf numFmtId="0" fontId="0" fillId="0" borderId="0" xfId="0" applyProtection="1">
      <protection hidden="1"/>
    </xf>
    <xf numFmtId="165" fontId="0" fillId="0" borderId="0" xfId="1" applyNumberFormat="1" applyFont="1" applyProtection="1">
      <protection hidden="1"/>
    </xf>
    <xf numFmtId="165" fontId="0" fillId="0" borderId="15" xfId="1" applyNumberFormat="1" applyFont="1" applyBorder="1" applyProtection="1">
      <protection hidden="1"/>
    </xf>
    <xf numFmtId="167" fontId="0" fillId="0" borderId="1" xfId="1" applyNumberFormat="1" applyFont="1" applyBorder="1" applyProtection="1">
      <protection hidden="1"/>
    </xf>
    <xf numFmtId="0" fontId="0" fillId="9" borderId="41" xfId="0" applyFill="1" applyBorder="1" applyProtection="1">
      <protection hidden="1"/>
    </xf>
    <xf numFmtId="167" fontId="0" fillId="0" borderId="6" xfId="1" applyNumberFormat="1" applyFont="1" applyBorder="1" applyProtection="1">
      <protection hidden="1"/>
    </xf>
    <xf numFmtId="0" fontId="0" fillId="9" borderId="1" xfId="0" applyFill="1" applyBorder="1" applyProtection="1">
      <protection hidden="1"/>
    </xf>
    <xf numFmtId="167" fontId="0" fillId="0" borderId="0" xfId="1" applyNumberFormat="1" applyFont="1" applyBorder="1" applyProtection="1">
      <protection hidden="1"/>
    </xf>
    <xf numFmtId="0" fontId="0" fillId="9" borderId="0" xfId="0" applyFill="1" applyProtection="1">
      <protection hidden="1"/>
    </xf>
    <xf numFmtId="167" fontId="0" fillId="0" borderId="26" xfId="1" applyNumberFormat="1" applyFont="1" applyBorder="1" applyProtection="1">
      <protection hidden="1"/>
    </xf>
    <xf numFmtId="167" fontId="0" fillId="0" borderId="8" xfId="1" applyNumberFormat="1" applyFont="1" applyBorder="1" applyProtection="1">
      <protection hidden="1"/>
    </xf>
    <xf numFmtId="0" fontId="0" fillId="9" borderId="8" xfId="0" applyFill="1" applyBorder="1" applyProtection="1">
      <protection hidden="1"/>
    </xf>
    <xf numFmtId="167" fontId="0" fillId="0" borderId="9" xfId="1" applyNumberFormat="1" applyFont="1" applyBorder="1" applyProtection="1">
      <protection hidden="1"/>
    </xf>
    <xf numFmtId="167" fontId="1" fillId="8" borderId="28" xfId="1" applyNumberFormat="1" applyFont="1" applyFill="1" applyBorder="1" applyProtection="1">
      <protection hidden="1"/>
    </xf>
    <xf numFmtId="167" fontId="0" fillId="0" borderId="28" xfId="0" applyNumberFormat="1" applyBorder="1" applyAlignment="1" applyProtection="1">
      <alignment wrapText="1"/>
      <protection hidden="1"/>
    </xf>
    <xf numFmtId="167" fontId="0" fillId="0" borderId="31" xfId="0" applyNumberFormat="1" applyBorder="1" applyAlignment="1" applyProtection="1">
      <alignment wrapText="1"/>
      <protection hidden="1"/>
    </xf>
    <xf numFmtId="167" fontId="14" fillId="0" borderId="28" xfId="0" applyNumberFormat="1" applyFont="1" applyBorder="1" applyAlignment="1" applyProtection="1">
      <alignment wrapText="1"/>
      <protection hidden="1"/>
    </xf>
    <xf numFmtId="0" fontId="24" fillId="0" borderId="0" xfId="0" applyFont="1" applyProtection="1">
      <protection hidden="1"/>
    </xf>
    <xf numFmtId="0" fontId="26" fillId="0" borderId="0" xfId="0" applyFont="1"/>
    <xf numFmtId="167" fontId="3" fillId="0" borderId="0" xfId="1" applyNumberFormat="1" applyFont="1" applyFill="1" applyBorder="1" applyProtection="1">
      <protection locked="0"/>
    </xf>
    <xf numFmtId="0" fontId="3" fillId="0" borderId="0" xfId="0" applyFont="1"/>
    <xf numFmtId="168" fontId="3" fillId="0" borderId="0" xfId="1" applyNumberFormat="1" applyFont="1" applyFill="1" applyBorder="1" applyProtection="1"/>
    <xf numFmtId="167" fontId="3" fillId="0" borderId="25" xfId="1" applyNumberFormat="1" applyFont="1" applyFill="1" applyBorder="1" applyProtection="1"/>
    <xf numFmtId="0" fontId="3" fillId="5" borderId="46" xfId="0" applyFont="1" applyFill="1" applyBorder="1" applyAlignment="1" applyProtection="1">
      <alignment wrapText="1"/>
      <protection locked="0"/>
    </xf>
    <xf numFmtId="168" fontId="20" fillId="0" borderId="0" xfId="1" applyNumberFormat="1" applyFont="1" applyFill="1" applyBorder="1" applyProtection="1"/>
    <xf numFmtId="168" fontId="20" fillId="0" borderId="1" xfId="1" applyNumberFormat="1" applyFont="1" applyFill="1" applyBorder="1" applyProtection="1"/>
    <xf numFmtId="0" fontId="20" fillId="0" borderId="15" xfId="0" applyFont="1" applyBorder="1"/>
    <xf numFmtId="0" fontId="0" fillId="0" borderId="10" xfId="0" applyBorder="1"/>
    <xf numFmtId="0" fontId="4" fillId="0" borderId="28" xfId="0" applyFont="1" applyBorder="1"/>
    <xf numFmtId="0" fontId="0" fillId="0" borderId="17" xfId="0" applyBorder="1"/>
    <xf numFmtId="0" fontId="0" fillId="0" borderId="18" xfId="0" applyBorder="1"/>
    <xf numFmtId="0" fontId="0" fillId="0" borderId="48" xfId="0" applyBorder="1"/>
    <xf numFmtId="0" fontId="0" fillId="0" borderId="45" xfId="0" applyBorder="1"/>
    <xf numFmtId="0" fontId="0" fillId="0" borderId="11" xfId="0" applyBorder="1"/>
    <xf numFmtId="0" fontId="0" fillId="0" borderId="12" xfId="0" applyBorder="1"/>
    <xf numFmtId="0" fontId="3" fillId="0" borderId="0" xfId="0" applyFont="1" applyAlignment="1">
      <alignment wrapText="1"/>
    </xf>
    <xf numFmtId="0" fontId="0" fillId="9" borderId="40" xfId="0" applyFill="1" applyBorder="1" applyProtection="1">
      <protection hidden="1"/>
    </xf>
    <xf numFmtId="0" fontId="0" fillId="0" borderId="49" xfId="0" applyBorder="1"/>
    <xf numFmtId="0" fontId="0" fillId="9" borderId="50" xfId="0" applyFill="1" applyBorder="1"/>
    <xf numFmtId="0" fontId="0" fillId="0" borderId="50" xfId="0" applyBorder="1"/>
    <xf numFmtId="0" fontId="0" fillId="0" borderId="41" xfId="0" applyBorder="1"/>
    <xf numFmtId="167" fontId="0" fillId="0" borderId="51" xfId="1" applyNumberFormat="1" applyFont="1" applyBorder="1"/>
    <xf numFmtId="0" fontId="15" fillId="0" borderId="0" xfId="0" applyFont="1"/>
    <xf numFmtId="167" fontId="0" fillId="0" borderId="39" xfId="0" applyNumberFormat="1" applyBorder="1" applyAlignment="1" applyProtection="1">
      <alignment wrapText="1"/>
      <protection hidden="1"/>
    </xf>
    <xf numFmtId="0" fontId="1" fillId="0" borderId="1" xfId="0" applyFont="1" applyBorder="1" applyAlignment="1">
      <alignment wrapText="1"/>
    </xf>
    <xf numFmtId="0" fontId="12" fillId="0" borderId="28" xfId="0" applyFont="1" applyBorder="1"/>
    <xf numFmtId="165" fontId="0" fillId="0" borderId="0" xfId="1" applyNumberFormat="1" applyFont="1" applyFill="1" applyBorder="1"/>
    <xf numFmtId="167" fontId="0" fillId="0" borderId="0" xfId="1" applyNumberFormat="1" applyFont="1" applyFill="1" applyBorder="1" applyProtection="1">
      <protection hidden="1"/>
    </xf>
    <xf numFmtId="167" fontId="3" fillId="0" borderId="0" xfId="1" applyNumberFormat="1" applyFont="1" applyFill="1" applyBorder="1"/>
    <xf numFmtId="0" fontId="0" fillId="9" borderId="1" xfId="0" applyFill="1" applyBorder="1"/>
    <xf numFmtId="0" fontId="25" fillId="0" borderId="0" xfId="0" applyFont="1" applyProtection="1">
      <protection hidden="1"/>
    </xf>
    <xf numFmtId="0" fontId="3" fillId="5" borderId="1" xfId="0" applyFont="1" applyFill="1" applyBorder="1" applyAlignment="1" applyProtection="1">
      <alignment wrapText="1"/>
      <protection locked="0"/>
    </xf>
    <xf numFmtId="165" fontId="0" fillId="0" borderId="0" xfId="1" applyNumberFormat="1" applyFont="1" applyBorder="1" applyProtection="1">
      <protection hidden="1"/>
    </xf>
    <xf numFmtId="0" fontId="0" fillId="9" borderId="52" xfId="0" applyFill="1" applyBorder="1"/>
    <xf numFmtId="0" fontId="1" fillId="0" borderId="53" xfId="0" applyFont="1" applyBorder="1"/>
    <xf numFmtId="167" fontId="0" fillId="0" borderId="1" xfId="1" applyNumberFormat="1" applyFont="1" applyBorder="1"/>
    <xf numFmtId="0" fontId="0" fillId="9" borderId="23" xfId="0" applyFill="1" applyBorder="1"/>
    <xf numFmtId="0" fontId="0" fillId="9" borderId="17" xfId="0" applyFill="1" applyBorder="1" applyProtection="1">
      <protection hidden="1"/>
    </xf>
    <xf numFmtId="0" fontId="0" fillId="9" borderId="14" xfId="0" applyFill="1" applyBorder="1" applyProtection="1">
      <protection hidden="1"/>
    </xf>
    <xf numFmtId="0" fontId="0" fillId="9" borderId="11" xfId="0" applyFill="1" applyBorder="1" applyProtection="1">
      <protection hidden="1"/>
    </xf>
    <xf numFmtId="0" fontId="1" fillId="0" borderId="54" xfId="0" applyFont="1" applyBorder="1"/>
    <xf numFmtId="0" fontId="3" fillId="12" borderId="0" xfId="0" applyFont="1" applyFill="1" applyAlignment="1" applyProtection="1">
      <alignment wrapText="1"/>
      <protection locked="0"/>
    </xf>
    <xf numFmtId="0" fontId="0" fillId="12" borderId="0" xfId="0" applyFill="1"/>
    <xf numFmtId="0" fontId="18" fillId="12" borderId="0" xfId="0" applyFont="1" applyFill="1" applyAlignment="1">
      <alignment horizontal="center"/>
    </xf>
    <xf numFmtId="0" fontId="25" fillId="0" borderId="1" xfId="0" applyFont="1" applyBorder="1" applyAlignment="1">
      <alignment wrapText="1"/>
    </xf>
    <xf numFmtId="0" fontId="28" fillId="0" borderId="0" xfId="0" applyFont="1" applyProtection="1">
      <protection hidden="1"/>
    </xf>
    <xf numFmtId="0" fontId="25" fillId="0" borderId="0" xfId="0" applyFont="1" applyAlignment="1">
      <alignment wrapText="1"/>
    </xf>
    <xf numFmtId="0" fontId="0" fillId="0" borderId="55" xfId="0" applyBorder="1"/>
    <xf numFmtId="0" fontId="1" fillId="0" borderId="56" xfId="0" applyFont="1" applyBorder="1" applyAlignment="1">
      <alignment wrapText="1"/>
    </xf>
    <xf numFmtId="0" fontId="1" fillId="0" borderId="53" xfId="0" applyFont="1" applyBorder="1" applyAlignment="1">
      <alignment wrapText="1"/>
    </xf>
    <xf numFmtId="0" fontId="0" fillId="0" borderId="57" xfId="0" applyBorder="1"/>
    <xf numFmtId="0" fontId="20" fillId="0" borderId="55" xfId="0" applyFont="1" applyBorder="1" applyAlignment="1">
      <alignment wrapText="1"/>
    </xf>
    <xf numFmtId="167" fontId="0" fillId="0" borderId="1" xfId="1" applyNumberFormat="1" applyFont="1" applyBorder="1" applyAlignment="1">
      <alignment wrapText="1"/>
    </xf>
    <xf numFmtId="167" fontId="3" fillId="13" borderId="1" xfId="1" applyNumberFormat="1" applyFont="1" applyFill="1" applyBorder="1" applyProtection="1"/>
    <xf numFmtId="0" fontId="0" fillId="10" borderId="0" xfId="0" applyFill="1"/>
    <xf numFmtId="0" fontId="0" fillId="10" borderId="28" xfId="0" applyFill="1" applyBorder="1"/>
    <xf numFmtId="0" fontId="1" fillId="0" borderId="28" xfId="0" applyFont="1" applyBorder="1" applyAlignment="1">
      <alignment wrapText="1"/>
    </xf>
    <xf numFmtId="0" fontId="18" fillId="0" borderId="0" xfId="0" applyFont="1" applyAlignment="1">
      <alignment horizontal="center"/>
    </xf>
    <xf numFmtId="165" fontId="0" fillId="0" borderId="27" xfId="1" applyNumberFormat="1" applyFont="1" applyBorder="1" applyProtection="1">
      <protection hidden="1"/>
    </xf>
    <xf numFmtId="0" fontId="20" fillId="0" borderId="1" xfId="0" applyFont="1" applyBorder="1" applyAlignment="1" applyProtection="1">
      <alignment wrapText="1"/>
      <protection locked="0"/>
    </xf>
    <xf numFmtId="0" fontId="20" fillId="0" borderId="1" xfId="0" applyFont="1" applyBorder="1" applyAlignment="1">
      <alignment wrapText="1"/>
    </xf>
    <xf numFmtId="0" fontId="20" fillId="0" borderId="27" xfId="0" applyFont="1" applyBorder="1" applyAlignment="1" applyProtection="1">
      <alignment wrapText="1"/>
      <protection locked="0"/>
    </xf>
    <xf numFmtId="0" fontId="20" fillId="0" borderId="0" xfId="0" applyFont="1" applyAlignment="1" applyProtection="1">
      <alignment wrapText="1"/>
      <protection locked="0"/>
    </xf>
    <xf numFmtId="167" fontId="20" fillId="0" borderId="28" xfId="0" applyNumberFormat="1" applyFont="1" applyBorder="1" applyAlignment="1">
      <alignment wrapText="1"/>
    </xf>
    <xf numFmtId="167" fontId="0" fillId="0" borderId="28" xfId="0" applyNumberFormat="1" applyBorder="1" applyAlignment="1">
      <alignment wrapText="1"/>
    </xf>
    <xf numFmtId="165" fontId="0" fillId="0" borderId="0" xfId="1" applyNumberFormat="1" applyFont="1" applyFill="1" applyBorder="1" applyProtection="1">
      <protection hidden="1"/>
    </xf>
    <xf numFmtId="0" fontId="0" fillId="0" borderId="14" xfId="0" applyBorder="1"/>
    <xf numFmtId="0" fontId="0" fillId="0" borderId="15" xfId="0" applyBorder="1"/>
    <xf numFmtId="165" fontId="0" fillId="0" borderId="0" xfId="1" applyNumberFormat="1" applyFont="1" applyFill="1" applyBorder="1" applyProtection="1"/>
    <xf numFmtId="0" fontId="25" fillId="0" borderId="0" xfId="0" applyFont="1"/>
    <xf numFmtId="0" fontId="24" fillId="0" borderId="0" xfId="0" applyFont="1"/>
    <xf numFmtId="167" fontId="3" fillId="0" borderId="25" xfId="1" applyNumberFormat="1" applyFont="1" applyFill="1" applyBorder="1" applyProtection="1">
      <protection hidden="1"/>
    </xf>
    <xf numFmtId="167" fontId="3" fillId="0" borderId="0" xfId="1" applyNumberFormat="1" applyFont="1" applyFill="1" applyBorder="1" applyProtection="1">
      <protection hidden="1"/>
    </xf>
    <xf numFmtId="167" fontId="3" fillId="0" borderId="25" xfId="1" applyNumberFormat="1" applyFont="1" applyBorder="1" applyProtection="1">
      <protection hidden="1"/>
    </xf>
    <xf numFmtId="167" fontId="3" fillId="0" borderId="0" xfId="1" applyNumberFormat="1" applyFont="1" applyBorder="1" applyProtection="1">
      <protection hidden="1"/>
    </xf>
    <xf numFmtId="167" fontId="11" fillId="0" borderId="0" xfId="1" applyNumberFormat="1" applyFont="1" applyFill="1" applyBorder="1" applyProtection="1">
      <protection hidden="1"/>
    </xf>
    <xf numFmtId="167" fontId="20" fillId="0" borderId="31" xfId="1" applyNumberFormat="1" applyFont="1" applyBorder="1" applyAlignment="1" applyProtection="1">
      <alignment wrapText="1"/>
      <protection hidden="1"/>
    </xf>
    <xf numFmtId="0" fontId="0" fillId="0" borderId="1" xfId="0" applyBorder="1" applyProtection="1">
      <protection hidden="1"/>
    </xf>
    <xf numFmtId="0" fontId="0" fillId="5" borderId="55" xfId="0" applyFill="1" applyBorder="1" applyProtection="1">
      <protection locked="0"/>
    </xf>
    <xf numFmtId="0" fontId="0" fillId="0" borderId="13" xfId="0" applyBorder="1" applyProtection="1">
      <protection hidden="1"/>
    </xf>
    <xf numFmtId="165" fontId="3" fillId="5" borderId="1" xfId="1" applyNumberFormat="1" applyFont="1" applyFill="1" applyBorder="1" applyProtection="1">
      <protection locked="0"/>
    </xf>
    <xf numFmtId="0" fontId="3" fillId="5" borderId="55" xfId="0" applyFont="1" applyFill="1" applyBorder="1" applyProtection="1">
      <protection locked="0"/>
    </xf>
    <xf numFmtId="167" fontId="1" fillId="8" borderId="39" xfId="1" applyNumberFormat="1" applyFont="1" applyFill="1" applyBorder="1" applyProtection="1">
      <protection hidden="1"/>
    </xf>
    <xf numFmtId="0" fontId="1" fillId="14" borderId="32" xfId="0" applyFont="1" applyFill="1" applyBorder="1"/>
    <xf numFmtId="0" fontId="1" fillId="14" borderId="33" xfId="0" applyFont="1" applyFill="1" applyBorder="1"/>
    <xf numFmtId="0" fontId="1" fillId="14" borderId="34" xfId="0" applyFont="1" applyFill="1" applyBorder="1" applyAlignment="1">
      <alignment wrapText="1"/>
    </xf>
    <xf numFmtId="0" fontId="0" fillId="14" borderId="58" xfId="0" applyFill="1" applyBorder="1"/>
    <xf numFmtId="0" fontId="27" fillId="14" borderId="27" xfId="2" applyFill="1" applyBorder="1"/>
    <xf numFmtId="0" fontId="0" fillId="14" borderId="59" xfId="0" applyFill="1" applyBorder="1" applyAlignment="1">
      <alignment horizontal="left" wrapText="1"/>
    </xf>
    <xf numFmtId="0" fontId="0" fillId="14" borderId="5" xfId="0" applyFill="1" applyBorder="1"/>
    <xf numFmtId="0" fontId="27" fillId="14" borderId="1" xfId="2" applyFill="1" applyBorder="1"/>
    <xf numFmtId="0" fontId="0" fillId="14" borderId="6" xfId="0" applyFill="1" applyBorder="1" applyAlignment="1">
      <alignment wrapText="1"/>
    </xf>
    <xf numFmtId="0" fontId="23" fillId="14" borderId="5" xfId="0" applyFont="1" applyFill="1" applyBorder="1" applyAlignment="1">
      <alignment horizontal="left" wrapText="1"/>
    </xf>
    <xf numFmtId="0" fontId="23" fillId="14" borderId="7" xfId="0" applyFont="1" applyFill="1" applyBorder="1" applyAlignment="1">
      <alignment horizontal="left" wrapText="1"/>
    </xf>
    <xf numFmtId="0" fontId="27" fillId="14" borderId="8" xfId="2" applyFill="1" applyBorder="1"/>
    <xf numFmtId="0" fontId="29" fillId="14" borderId="9" xfId="0" applyFont="1" applyFill="1" applyBorder="1" applyAlignment="1">
      <alignment wrapText="1"/>
    </xf>
    <xf numFmtId="0" fontId="30" fillId="5" borderId="1" xfId="0" applyFont="1" applyFill="1" applyBorder="1" applyAlignment="1" applyProtection="1">
      <alignment horizontal="left"/>
      <protection locked="0"/>
    </xf>
    <xf numFmtId="0" fontId="1" fillId="5" borderId="1" xfId="0" applyFont="1" applyFill="1" applyBorder="1" applyProtection="1">
      <protection locked="0"/>
    </xf>
    <xf numFmtId="0" fontId="1" fillId="9" borderId="32" xfId="0" applyFont="1" applyFill="1" applyBorder="1"/>
    <xf numFmtId="167" fontId="1" fillId="0" borderId="1" xfId="1" applyNumberFormat="1" applyFont="1" applyBorder="1" applyAlignment="1">
      <alignment horizontal="right" indent="1"/>
    </xf>
    <xf numFmtId="167" fontId="3" fillId="13" borderId="40" xfId="1" applyNumberFormat="1" applyFont="1" applyFill="1" applyBorder="1" applyProtection="1"/>
    <xf numFmtId="167" fontId="0" fillId="0" borderId="40" xfId="1" applyNumberFormat="1" applyFont="1" applyBorder="1" applyProtection="1">
      <protection hidden="1"/>
    </xf>
    <xf numFmtId="165" fontId="0" fillId="0" borderId="1" xfId="1" applyNumberFormat="1" applyFont="1" applyBorder="1" applyProtection="1"/>
    <xf numFmtId="0" fontId="0" fillId="5" borderId="1" xfId="0" applyFill="1" applyBorder="1" applyProtection="1">
      <protection locked="0"/>
    </xf>
    <xf numFmtId="0" fontId="0" fillId="5" borderId="40" xfId="0" applyFill="1" applyBorder="1" applyProtection="1">
      <protection locked="0"/>
    </xf>
    <xf numFmtId="0" fontId="3" fillId="5" borderId="40" xfId="0" applyFont="1" applyFill="1" applyBorder="1" applyAlignment="1" applyProtection="1">
      <alignment wrapText="1"/>
      <protection locked="0"/>
    </xf>
    <xf numFmtId="165" fontId="0" fillId="0" borderId="40" xfId="1" applyNumberFormat="1" applyFont="1" applyBorder="1" applyProtection="1"/>
    <xf numFmtId="0" fontId="0" fillId="5" borderId="60" xfId="0" applyFill="1" applyBorder="1" applyProtection="1">
      <protection locked="0"/>
    </xf>
    <xf numFmtId="43" fontId="3" fillId="5" borderId="1" xfId="1" applyFont="1" applyFill="1" applyBorder="1" applyProtection="1">
      <protection locked="0"/>
    </xf>
    <xf numFmtId="0" fontId="0" fillId="12" borderId="1" xfId="0" applyFill="1" applyBorder="1"/>
    <xf numFmtId="0" fontId="20" fillId="12" borderId="1" xfId="0" applyFont="1" applyFill="1" applyBorder="1" applyAlignment="1">
      <alignment wrapText="1"/>
    </xf>
    <xf numFmtId="0" fontId="0" fillId="12" borderId="1" xfId="0" applyFill="1" applyBorder="1" applyAlignment="1">
      <alignment wrapText="1"/>
    </xf>
    <xf numFmtId="0" fontId="0" fillId="9" borderId="61" xfId="0" applyFill="1" applyBorder="1"/>
    <xf numFmtId="0" fontId="3" fillId="5" borderId="38" xfId="0" applyFont="1" applyFill="1" applyBorder="1" applyAlignment="1" applyProtection="1">
      <alignment wrapText="1"/>
      <protection locked="0"/>
    </xf>
    <xf numFmtId="0" fontId="3" fillId="5" borderId="1" xfId="0" applyFont="1" applyFill="1" applyBorder="1" applyProtection="1">
      <protection locked="0"/>
    </xf>
    <xf numFmtId="168" fontId="3" fillId="5" borderId="1" xfId="1" applyNumberFormat="1" applyFont="1" applyFill="1" applyBorder="1" applyProtection="1">
      <protection locked="0"/>
    </xf>
    <xf numFmtId="0" fontId="0" fillId="9" borderId="41" xfId="0" applyFill="1" applyBorder="1"/>
    <xf numFmtId="0" fontId="0" fillId="9" borderId="62" xfId="0" applyFill="1" applyBorder="1"/>
    <xf numFmtId="0" fontId="3" fillId="5" borderId="62" xfId="0" applyFont="1" applyFill="1" applyBorder="1" applyProtection="1">
      <protection locked="0"/>
    </xf>
    <xf numFmtId="0" fontId="3" fillId="5" borderId="29" xfId="0" applyFont="1" applyFill="1" applyBorder="1" applyAlignment="1" applyProtection="1">
      <alignment wrapText="1"/>
      <protection locked="0"/>
    </xf>
    <xf numFmtId="0" fontId="1" fillId="0" borderId="63" xfId="0" applyFont="1" applyBorder="1"/>
    <xf numFmtId="0" fontId="1" fillId="0" borderId="28" xfId="0" applyFont="1" applyBorder="1"/>
    <xf numFmtId="167" fontId="20" fillId="0" borderId="28" xfId="1" applyNumberFormat="1" applyFont="1" applyFill="1" applyBorder="1" applyProtection="1"/>
    <xf numFmtId="0" fontId="20" fillId="9" borderId="14" xfId="0" applyFont="1" applyFill="1" applyBorder="1"/>
    <xf numFmtId="167" fontId="3" fillId="5" borderId="41" xfId="1" applyNumberFormat="1" applyFont="1" applyFill="1" applyBorder="1" applyProtection="1">
      <protection locked="0"/>
    </xf>
    <xf numFmtId="0" fontId="12" fillId="0" borderId="0" xfId="0" applyFont="1" applyProtection="1">
      <protection hidden="1"/>
    </xf>
    <xf numFmtId="0" fontId="31" fillId="0" borderId="1" xfId="0" applyFont="1" applyBorder="1" applyAlignment="1">
      <alignment wrapText="1"/>
    </xf>
    <xf numFmtId="165" fontId="25" fillId="0" borderId="0" xfId="1" applyNumberFormat="1" applyFont="1" applyBorder="1" applyProtection="1"/>
    <xf numFmtId="165" fontId="25" fillId="0" borderId="0" xfId="1" applyNumberFormat="1" applyFont="1"/>
    <xf numFmtId="0" fontId="0" fillId="0" borderId="31" xfId="0" applyBorder="1"/>
    <xf numFmtId="167" fontId="20" fillId="12" borderId="28" xfId="0" applyNumberFormat="1" applyFont="1" applyFill="1" applyBorder="1" applyAlignment="1" applyProtection="1">
      <alignment wrapText="1"/>
      <protection hidden="1"/>
    </xf>
    <xf numFmtId="0" fontId="0" fillId="0" borderId="0" xfId="0" applyAlignment="1">
      <alignment horizontal="left" indent="1"/>
    </xf>
    <xf numFmtId="0" fontId="32" fillId="0" borderId="0" xfId="0" applyFont="1" applyAlignment="1">
      <alignment horizontal="left" indent="1"/>
    </xf>
    <xf numFmtId="0" fontId="27" fillId="0" borderId="0" xfId="2" applyAlignment="1">
      <alignment horizontal="left" indent="1"/>
    </xf>
    <xf numFmtId="0" fontId="28" fillId="0" borderId="28" xfId="0" applyFont="1" applyBorder="1" applyAlignment="1">
      <alignment wrapText="1"/>
    </xf>
    <xf numFmtId="0" fontId="28" fillId="12" borderId="1" xfId="0" applyFont="1" applyFill="1" applyBorder="1" applyAlignment="1">
      <alignment wrapText="1"/>
    </xf>
    <xf numFmtId="0" fontId="28" fillId="0" borderId="1" xfId="0" applyFont="1" applyBorder="1" applyAlignment="1">
      <alignment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7" fillId="0" borderId="12" xfId="0" applyFont="1" applyBorder="1" applyAlignment="1">
      <alignment horizontal="left" wrapText="1"/>
    </xf>
    <xf numFmtId="0" fontId="0" fillId="0" borderId="13" xfId="0" applyBorder="1" applyAlignment="1">
      <alignment horizontal="left" wrapText="1"/>
    </xf>
    <xf numFmtId="0" fontId="0" fillId="0" borderId="15" xfId="0" applyBorder="1" applyAlignment="1">
      <alignment horizontal="left" wrapText="1"/>
    </xf>
    <xf numFmtId="0" fontId="5" fillId="4" borderId="1" xfId="0" applyFont="1" applyFill="1" applyBorder="1" applyAlignment="1">
      <alignment horizontal="left" wrapText="1"/>
    </xf>
    <xf numFmtId="0" fontId="0" fillId="0" borderId="13" xfId="0" applyBorder="1" applyAlignment="1">
      <alignment horizontal="left"/>
    </xf>
    <xf numFmtId="0" fontId="0" fillId="0" borderId="15" xfId="0" applyBorder="1" applyAlignment="1">
      <alignment horizontal="left"/>
    </xf>
    <xf numFmtId="0" fontId="5" fillId="0" borderId="10" xfId="0" applyFont="1" applyBorder="1" applyAlignment="1">
      <alignment horizontal="center"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5" fillId="4" borderId="13" xfId="0" applyFont="1" applyFill="1" applyBorder="1" applyAlignment="1">
      <alignment horizontal="left" wrapText="1"/>
    </xf>
    <xf numFmtId="0" fontId="5" fillId="4" borderId="14" xfId="0" applyFont="1" applyFill="1" applyBorder="1" applyAlignment="1">
      <alignment horizontal="left" wrapText="1"/>
    </xf>
    <xf numFmtId="0" fontId="5" fillId="4" borderId="15" xfId="0" applyFont="1" applyFill="1" applyBorder="1" applyAlignment="1">
      <alignment horizontal="left" wrapText="1"/>
    </xf>
  </cellXfs>
  <cellStyles count="3">
    <cellStyle name="Hyperlink" xfId="2" builtinId="8"/>
    <cellStyle name="Komma" xfId="1" builtinId="3"/>
    <cellStyle name="Standaard" xfId="0" builtinId="0"/>
  </cellStyles>
  <dxfs count="82">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D52B1E"/>
      <color rgb="FF007BC7"/>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21577</xdr:colOff>
      <xdr:row>4</xdr:row>
      <xdr:rowOff>163731</xdr:rowOff>
    </xdr:from>
    <xdr:to>
      <xdr:col>11</xdr:col>
      <xdr:colOff>276224</xdr:colOff>
      <xdr:row>12</xdr:row>
      <xdr:rowOff>47624</xdr:rowOff>
    </xdr:to>
    <xdr:pic>
      <xdr:nvPicPr>
        <xdr:cNvPr id="3" name="Afbeelding 2">
          <a:extLst>
            <a:ext uri="{FF2B5EF4-FFF2-40B4-BE49-F238E27FC236}">
              <a16:creationId xmlns:a16="http://schemas.microsoft.com/office/drawing/2014/main" id="{79710753-AE1D-4762-A24E-6FB2B28F8F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3652" y="935256"/>
          <a:ext cx="2364435" cy="1331693"/>
        </a:xfrm>
        <a:prstGeom prst="rect">
          <a:avLst/>
        </a:prstGeom>
      </xdr:spPr>
    </xdr:pic>
    <xdr:clientData/>
  </xdr:twoCellAnchor>
  <xdr:twoCellAnchor editAs="oneCell">
    <xdr:from>
      <xdr:col>6</xdr:col>
      <xdr:colOff>752475</xdr:colOff>
      <xdr:row>0</xdr:row>
      <xdr:rowOff>0</xdr:rowOff>
    </xdr:from>
    <xdr:to>
      <xdr:col>8</xdr:col>
      <xdr:colOff>704850</xdr:colOff>
      <xdr:row>0</xdr:row>
      <xdr:rowOff>1115707</xdr:rowOff>
    </xdr:to>
    <xdr:pic>
      <xdr:nvPicPr>
        <xdr:cNvPr id="2" name="Afbeelding 1">
          <a:extLst>
            <a:ext uri="{FF2B5EF4-FFF2-40B4-BE49-F238E27FC236}">
              <a16:creationId xmlns:a16="http://schemas.microsoft.com/office/drawing/2014/main" id="{7409664B-1032-3A73-AC59-96155A0042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57675" y="0"/>
          <a:ext cx="1924050" cy="1115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9</xdr:col>
      <xdr:colOff>390533</xdr:colOff>
      <xdr:row>2</xdr:row>
      <xdr:rowOff>161925</xdr:rowOff>
    </xdr:to>
    <xdr:pic>
      <xdr:nvPicPr>
        <xdr:cNvPr id="2" name="Afbeelding 1">
          <a:extLst>
            <a:ext uri="{FF2B5EF4-FFF2-40B4-BE49-F238E27FC236}">
              <a16:creationId xmlns:a16="http://schemas.microsoft.com/office/drawing/2014/main" id="{D6EA357E-546D-47F6-B461-A1C7F97EA89B}"/>
            </a:ext>
          </a:extLst>
        </xdr:cNvPr>
        <xdr:cNvPicPr>
          <a:picLocks noChangeAspect="1"/>
        </xdr:cNvPicPr>
      </xdr:nvPicPr>
      <xdr:blipFill rotWithShape="1">
        <a:blip xmlns:r="http://schemas.openxmlformats.org/officeDocument/2006/relationships" r:embed="rId1"/>
        <a:srcRect t="6542" b="11215"/>
        <a:stretch/>
      </xdr:blipFill>
      <xdr:spPr>
        <a:xfrm>
          <a:off x="8490585" y="76200"/>
          <a:ext cx="3055628" cy="862965"/>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s://www.co2emissiefactoren.n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environdec.com/library" TargetMode="External"/><Relationship Id="rId3" Type="http://schemas.openxmlformats.org/officeDocument/2006/relationships/hyperlink" Target="https://ce.nl/wp-content/uploads/2021/03/CE_Delft_190400_Klimaatimpact_afvalverwerkroutes_Nederland_Maart2021_DEF.pdf" TargetMode="External"/><Relationship Id="rId7" Type="http://schemas.openxmlformats.org/officeDocument/2006/relationships/hyperlink" Target="https://www.eco-platform.org/epd-data.html" TargetMode="External"/><Relationship Id="rId2" Type="http://schemas.openxmlformats.org/officeDocument/2006/relationships/hyperlink" Target="https://www.co2emissiefactoren.nl/lijst-emissiefactoren/" TargetMode="External"/><Relationship Id="rId1" Type="http://schemas.openxmlformats.org/officeDocument/2006/relationships/hyperlink" Target="https://www.co2emissiefactoren.nl/lijst-emissiefactoren/" TargetMode="External"/><Relationship Id="rId6" Type="http://schemas.openxmlformats.org/officeDocument/2006/relationships/hyperlink" Target="https://ce.nl/wp-content/uploads/2023/01/CE_Delft_220327_CO2-winst_met_kunststofrecyclaat_DEF.pdf" TargetMode="External"/><Relationship Id="rId11" Type="http://schemas.openxmlformats.org/officeDocument/2006/relationships/hyperlink" Target="https://www.ecocostsvalue.com/data-tools-books/tool-in-excel/" TargetMode="External"/><Relationship Id="rId5" Type="http://schemas.openxmlformats.org/officeDocument/2006/relationships/hyperlink" Target="https://ce.nl/wp-content/uploads/2021/03/CE_Delft_190325_STREAM_Goedervervoer_2020_DEF_Versie2.pdf" TargetMode="External"/><Relationship Id="rId10" Type="http://schemas.openxmlformats.org/officeDocument/2006/relationships/hyperlink" Target="https://footprintcalc.org/" TargetMode="External"/><Relationship Id="rId4" Type="http://schemas.openxmlformats.org/officeDocument/2006/relationships/hyperlink" Target="https://milieudatabase.nl/nl/viewer/?category=category-3" TargetMode="External"/><Relationship Id="rId9" Type="http://schemas.openxmlformats.org/officeDocument/2006/relationships/hyperlink" Target="https://publications.jrc.ec.europa.eu/repository/handle/JRC134682"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B82EA-60A8-4692-8077-DF0184FA07D8}">
  <sheetPr codeName="Blad1"/>
  <dimension ref="A1:H30"/>
  <sheetViews>
    <sheetView workbookViewId="0">
      <selection activeCell="B15" sqref="B15"/>
    </sheetView>
  </sheetViews>
  <sheetFormatPr defaultRowHeight="15" x14ac:dyDescent="0.25"/>
  <cols>
    <col min="4" max="4" width="15" customWidth="1"/>
    <col min="5" max="5" width="19.5703125" customWidth="1"/>
    <col min="6" max="6" width="65.7109375" customWidth="1"/>
  </cols>
  <sheetData>
    <row r="1" spans="1:8" ht="26.25" x14ac:dyDescent="0.4">
      <c r="A1" s="2" t="s">
        <v>0</v>
      </c>
      <c r="E1" s="157" t="s">
        <v>445</v>
      </c>
    </row>
    <row r="2" spans="1:8" x14ac:dyDescent="0.25">
      <c r="A2" s="3" t="s">
        <v>401</v>
      </c>
      <c r="B2" s="3"/>
      <c r="C2" s="3"/>
      <c r="D2" s="3" t="s">
        <v>2</v>
      </c>
      <c r="E2" s="3" t="s">
        <v>447</v>
      </c>
      <c r="F2" s="3" t="s">
        <v>448</v>
      </c>
      <c r="G2" s="3"/>
      <c r="H2" s="3"/>
    </row>
    <row r="3" spans="1:8" x14ac:dyDescent="0.25">
      <c r="A3" s="4" t="s">
        <v>1</v>
      </c>
      <c r="B3" s="74" t="s">
        <v>398</v>
      </c>
      <c r="C3" s="4" t="s">
        <v>438</v>
      </c>
      <c r="D3" s="5">
        <v>44991</v>
      </c>
      <c r="E3" s="4" t="s">
        <v>446</v>
      </c>
      <c r="F3" s="4" t="s">
        <v>449</v>
      </c>
      <c r="G3" s="4"/>
      <c r="H3" s="4"/>
    </row>
    <row r="4" spans="1:8" x14ac:dyDescent="0.25">
      <c r="A4" s="4"/>
      <c r="B4" s="74" t="s">
        <v>457</v>
      </c>
      <c r="C4" s="4" t="s">
        <v>468</v>
      </c>
      <c r="D4" s="5">
        <v>44998</v>
      </c>
      <c r="E4" s="4" t="s">
        <v>446</v>
      </c>
      <c r="F4" s="4" t="s">
        <v>458</v>
      </c>
      <c r="G4" s="4"/>
      <c r="H4" s="4"/>
    </row>
    <row r="5" spans="1:8" x14ac:dyDescent="0.25">
      <c r="A5" s="4"/>
      <c r="B5" s="74" t="s">
        <v>469</v>
      </c>
      <c r="C5" s="4" t="s">
        <v>438</v>
      </c>
      <c r="D5" s="5">
        <v>45147</v>
      </c>
      <c r="E5" s="4" t="s">
        <v>446</v>
      </c>
      <c r="F5" s="4" t="s">
        <v>470</v>
      </c>
      <c r="G5" s="4"/>
      <c r="H5" s="4"/>
    </row>
    <row r="6" spans="1:8" x14ac:dyDescent="0.25">
      <c r="A6" s="4"/>
      <c r="B6" s="74" t="s">
        <v>476</v>
      </c>
      <c r="C6" s="4" t="s">
        <v>438</v>
      </c>
      <c r="D6" s="5">
        <v>45638</v>
      </c>
      <c r="E6" s="4" t="s">
        <v>477</v>
      </c>
      <c r="F6" s="4" t="s">
        <v>492</v>
      </c>
      <c r="G6" s="4"/>
      <c r="H6" s="4"/>
    </row>
    <row r="7" spans="1:8" x14ac:dyDescent="0.25">
      <c r="A7" s="4"/>
      <c r="B7" s="74" t="s">
        <v>530</v>
      </c>
      <c r="C7" s="4" t="s">
        <v>438</v>
      </c>
      <c r="D7" s="5">
        <v>45639</v>
      </c>
      <c r="E7" s="4" t="s">
        <v>531</v>
      </c>
      <c r="F7" s="4" t="s">
        <v>532</v>
      </c>
      <c r="G7" s="4"/>
      <c r="H7" s="4"/>
    </row>
    <row r="8" spans="1:8" x14ac:dyDescent="0.25">
      <c r="A8" s="4"/>
      <c r="B8" s="74" t="s">
        <v>530</v>
      </c>
      <c r="C8" s="4" t="s">
        <v>438</v>
      </c>
      <c r="D8" s="5">
        <v>45643</v>
      </c>
      <c r="E8" s="4" t="s">
        <v>538</v>
      </c>
      <c r="F8" s="4" t="s">
        <v>539</v>
      </c>
      <c r="G8" s="4"/>
      <c r="H8" s="4"/>
    </row>
    <row r="9" spans="1:8" ht="85.5" customHeight="1" x14ac:dyDescent="0.25">
      <c r="A9" s="4"/>
      <c r="B9" s="74" t="s">
        <v>530</v>
      </c>
      <c r="C9" s="4" t="s">
        <v>438</v>
      </c>
      <c r="D9" s="5">
        <v>45645</v>
      </c>
      <c r="E9" s="4" t="s">
        <v>531</v>
      </c>
      <c r="F9" s="92" t="s">
        <v>551</v>
      </c>
      <c r="G9" s="4"/>
      <c r="H9" s="4"/>
    </row>
    <row r="10" spans="1:8" ht="30" x14ac:dyDescent="0.25">
      <c r="A10" s="4"/>
      <c r="B10" s="74" t="s">
        <v>530</v>
      </c>
      <c r="C10" s="4" t="s">
        <v>438</v>
      </c>
      <c r="D10" s="5">
        <v>45649</v>
      </c>
      <c r="E10" s="4" t="s">
        <v>538</v>
      </c>
      <c r="F10" s="92" t="s">
        <v>586</v>
      </c>
      <c r="G10" s="4"/>
      <c r="H10" s="4"/>
    </row>
    <row r="11" spans="1:8" ht="30" x14ac:dyDescent="0.25">
      <c r="A11" s="4"/>
      <c r="B11" s="74" t="s">
        <v>530</v>
      </c>
      <c r="C11" s="4" t="s">
        <v>438</v>
      </c>
      <c r="D11" s="5">
        <v>45650</v>
      </c>
      <c r="E11" s="4" t="s">
        <v>538</v>
      </c>
      <c r="F11" s="92" t="s">
        <v>587</v>
      </c>
      <c r="G11" s="4"/>
      <c r="H11" s="4"/>
    </row>
    <row r="12" spans="1:8" ht="45" x14ac:dyDescent="0.25">
      <c r="A12" s="4"/>
      <c r="B12" s="74" t="s">
        <v>530</v>
      </c>
      <c r="C12" s="4" t="s">
        <v>588</v>
      </c>
      <c r="D12" s="5">
        <v>45298</v>
      </c>
      <c r="E12" s="4" t="s">
        <v>531</v>
      </c>
      <c r="F12" s="92" t="s">
        <v>594</v>
      </c>
      <c r="G12" s="4"/>
      <c r="H12" s="4"/>
    </row>
    <row r="13" spans="1:8" x14ac:dyDescent="0.25">
      <c r="A13" s="4"/>
      <c r="B13" s="74" t="s">
        <v>595</v>
      </c>
      <c r="C13" s="4" t="s">
        <v>596</v>
      </c>
      <c r="D13" s="5">
        <v>45300</v>
      </c>
      <c r="E13" s="4" t="s">
        <v>597</v>
      </c>
      <c r="F13" s="92" t="s">
        <v>598</v>
      </c>
      <c r="G13" s="4"/>
      <c r="H13" s="4"/>
    </row>
    <row r="14" spans="1:8" ht="30" x14ac:dyDescent="0.25">
      <c r="A14" s="4"/>
      <c r="B14" s="74" t="s">
        <v>600</v>
      </c>
      <c r="C14" s="4" t="s">
        <v>596</v>
      </c>
      <c r="D14" s="5">
        <v>45666</v>
      </c>
      <c r="E14" s="4" t="s">
        <v>531</v>
      </c>
      <c r="F14" s="92" t="s">
        <v>601</v>
      </c>
      <c r="G14" s="4"/>
      <c r="H14" s="4"/>
    </row>
    <row r="15" spans="1:8" x14ac:dyDescent="0.25">
      <c r="A15" s="4"/>
      <c r="B15" s="74" t="s">
        <v>606</v>
      </c>
      <c r="C15" s="4" t="s">
        <v>607</v>
      </c>
      <c r="D15" s="5">
        <v>45677</v>
      </c>
      <c r="E15" s="4" t="s">
        <v>597</v>
      </c>
      <c r="F15" s="92" t="s">
        <v>608</v>
      </c>
      <c r="G15" s="4"/>
      <c r="H15" s="4"/>
    </row>
    <row r="16" spans="1:8" x14ac:dyDescent="0.25">
      <c r="A16" s="4"/>
      <c r="B16" s="74"/>
      <c r="C16" s="4"/>
      <c r="D16" s="5"/>
      <c r="E16" s="4"/>
      <c r="F16" s="92"/>
      <c r="G16" s="4"/>
      <c r="H16" s="4"/>
    </row>
    <row r="17" spans="1:8" x14ac:dyDescent="0.25">
      <c r="A17" s="4"/>
      <c r="B17" s="74"/>
      <c r="C17" s="4"/>
      <c r="D17" s="5"/>
      <c r="E17" s="4"/>
      <c r="F17" s="92"/>
      <c r="G17" s="4"/>
      <c r="H17" s="4"/>
    </row>
    <row r="18" spans="1:8" x14ac:dyDescent="0.25">
      <c r="A18" s="4"/>
      <c r="B18" s="74"/>
      <c r="C18" s="4"/>
      <c r="D18" s="5"/>
      <c r="E18" s="4"/>
      <c r="F18" s="92"/>
      <c r="G18" s="4"/>
      <c r="H18" s="4"/>
    </row>
    <row r="19" spans="1:8" x14ac:dyDescent="0.25">
      <c r="A19" s="4"/>
      <c r="B19" s="4"/>
      <c r="C19" s="4"/>
      <c r="D19" s="5"/>
      <c r="E19" s="4"/>
      <c r="F19" s="92"/>
      <c r="G19" s="4"/>
      <c r="H19" s="4"/>
    </row>
    <row r="20" spans="1:8" x14ac:dyDescent="0.25">
      <c r="A20" s="4"/>
      <c r="B20" s="4"/>
      <c r="C20" s="4"/>
      <c r="D20" s="5"/>
      <c r="E20" s="4"/>
      <c r="F20" s="92"/>
      <c r="G20" s="4"/>
      <c r="H20" s="4"/>
    </row>
    <row r="21" spans="1:8" x14ac:dyDescent="0.25">
      <c r="A21" s="4"/>
      <c r="B21" s="4"/>
      <c r="C21" s="4"/>
      <c r="D21" s="5"/>
      <c r="E21" s="4"/>
      <c r="F21" s="92"/>
      <c r="G21" s="4"/>
      <c r="H21" s="4"/>
    </row>
    <row r="22" spans="1:8" x14ac:dyDescent="0.25">
      <c r="A22" s="4"/>
      <c r="B22" s="4"/>
      <c r="C22" s="4"/>
      <c r="D22" s="5"/>
      <c r="E22" s="4"/>
      <c r="F22" s="92"/>
      <c r="G22" s="4"/>
      <c r="H22" s="4"/>
    </row>
    <row r="23" spans="1:8" x14ac:dyDescent="0.25">
      <c r="A23" s="4"/>
      <c r="B23" s="4"/>
      <c r="C23" s="4"/>
      <c r="D23" s="5"/>
      <c r="E23" s="4"/>
      <c r="F23" s="92"/>
      <c r="G23" s="4"/>
      <c r="H23" s="4"/>
    </row>
    <row r="24" spans="1:8" x14ac:dyDescent="0.25">
      <c r="A24" s="4"/>
      <c r="B24" s="4"/>
      <c r="C24" s="4"/>
      <c r="D24" s="5"/>
      <c r="E24" s="4"/>
      <c r="F24" s="92"/>
      <c r="G24" s="4"/>
      <c r="H24" s="4"/>
    </row>
    <row r="25" spans="1:8" x14ac:dyDescent="0.25">
      <c r="A25" s="4"/>
      <c r="B25" s="4"/>
      <c r="C25" s="4"/>
      <c r="D25" s="5"/>
      <c r="E25" s="4"/>
      <c r="F25" s="92"/>
      <c r="G25" s="4"/>
      <c r="H25" s="4"/>
    </row>
    <row r="26" spans="1:8" x14ac:dyDescent="0.25">
      <c r="A26" s="4"/>
      <c r="B26" s="4"/>
      <c r="C26" s="4"/>
      <c r="D26" s="5"/>
      <c r="E26" s="4"/>
      <c r="F26" s="92"/>
      <c r="G26" s="4"/>
      <c r="H26" s="4"/>
    </row>
    <row r="27" spans="1:8" x14ac:dyDescent="0.25">
      <c r="A27" s="4"/>
      <c r="B27" s="4"/>
      <c r="C27" s="4"/>
      <c r="D27" s="5"/>
      <c r="E27" s="4"/>
      <c r="F27" s="92"/>
      <c r="G27" s="4"/>
      <c r="H27" s="4"/>
    </row>
    <row r="28" spans="1:8" x14ac:dyDescent="0.25">
      <c r="A28" s="4"/>
      <c r="B28" s="4"/>
      <c r="C28" s="4"/>
      <c r="D28" s="5"/>
      <c r="E28" s="4"/>
      <c r="F28" s="92"/>
      <c r="G28" s="4"/>
      <c r="H28" s="4"/>
    </row>
    <row r="29" spans="1:8" x14ac:dyDescent="0.25">
      <c r="A29" s="4"/>
      <c r="B29" s="4"/>
      <c r="C29" s="4"/>
      <c r="D29" s="5"/>
      <c r="E29" s="4"/>
      <c r="F29" s="92"/>
      <c r="G29" s="4"/>
      <c r="H29" s="4"/>
    </row>
    <row r="30" spans="1:8" x14ac:dyDescent="0.25">
      <c r="D30" s="60"/>
    </row>
  </sheetData>
  <sheetProtection algorithmName="SHA-512" hashValue="MT83aXpf90aXLzTaPQN1i8+sfzfplGSSaieWB3zzK14o0VGGOsgBnU1BVJyHsGO/MCHEjZLv7a/5oCCK3XHI1A==" saltValue="KYFby2kD5RlPYTDl6hTwSQ==" spinCount="100000" sheet="1" objects="1" scenarios="1"/>
  <customSheetViews>
    <customSheetView guid="{468B9859-406B-47B7-B856-34BDC1863CB4}">
      <selection activeCell="E9" sqref="E9"/>
      <pageMargins left="0.7" right="0.7" top="0.75" bottom="0.75" header="0.3" footer="0.3"/>
      <pageSetup paperSize="9" orientation="portrait" r:id="rId1"/>
      <headerFooter>
        <oddFooter>&amp;L_x000D_&amp;1#&amp;"Calibri"&amp;10&amp;K000000 Intern gebruik</oddFooter>
      </headerFooter>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322DB-54DB-4829-9A1C-81C43406CA21}">
  <sheetPr codeName="Blad2">
    <tabColor theme="7" tint="0.39997558519241921"/>
  </sheetPr>
  <dimension ref="A1:R54"/>
  <sheetViews>
    <sheetView workbookViewId="0">
      <selection activeCell="L12" sqref="L12:L13"/>
    </sheetView>
  </sheetViews>
  <sheetFormatPr defaultRowHeight="15" x14ac:dyDescent="0.25"/>
  <cols>
    <col min="1" max="1" width="24.7109375" customWidth="1"/>
    <col min="7" max="7" width="22.28515625" customWidth="1"/>
    <col min="8" max="8" width="12.42578125" customWidth="1"/>
    <col min="9" max="9" width="13.5703125" customWidth="1"/>
    <col min="12" max="12" width="26.5703125" customWidth="1"/>
    <col min="14" max="14" width="32.140625" customWidth="1"/>
  </cols>
  <sheetData>
    <row r="1" spans="1:18" x14ac:dyDescent="0.25">
      <c r="A1" t="s">
        <v>445</v>
      </c>
    </row>
    <row r="2" spans="1:18" x14ac:dyDescent="0.25">
      <c r="A2" t="s">
        <v>3</v>
      </c>
      <c r="L2" s="1" t="s">
        <v>389</v>
      </c>
      <c r="P2" t="s">
        <v>6</v>
      </c>
    </row>
    <row r="3" spans="1:18" ht="15.75" thickBot="1" x14ac:dyDescent="0.3">
      <c r="L3" s="62" t="s">
        <v>475</v>
      </c>
    </row>
    <row r="4" spans="1:18" ht="60" x14ac:dyDescent="0.25">
      <c r="G4" s="27" t="s">
        <v>430</v>
      </c>
      <c r="H4" s="104">
        <v>15</v>
      </c>
      <c r="I4" s="3" t="s">
        <v>429</v>
      </c>
      <c r="L4" s="8"/>
      <c r="M4" s="9">
        <v>2005</v>
      </c>
      <c r="N4" s="9">
        <v>2015</v>
      </c>
      <c r="O4" s="9">
        <v>2020</v>
      </c>
      <c r="P4" s="9">
        <v>2021</v>
      </c>
      <c r="Q4" s="9">
        <v>2025</v>
      </c>
      <c r="R4" s="10">
        <v>2030</v>
      </c>
    </row>
    <row r="5" spans="1:18" ht="30.75" thickBot="1" x14ac:dyDescent="0.3">
      <c r="A5" s="67" t="s">
        <v>372</v>
      </c>
      <c r="G5" s="3" t="s">
        <v>431</v>
      </c>
      <c r="H5" s="4">
        <v>80</v>
      </c>
      <c r="I5" s="3" t="s">
        <v>432</v>
      </c>
      <c r="L5" s="11" t="s">
        <v>4</v>
      </c>
      <c r="M5" s="7">
        <v>0.62</v>
      </c>
      <c r="N5" s="7">
        <v>0.68</v>
      </c>
      <c r="O5" s="7">
        <v>0.42</v>
      </c>
      <c r="P5" s="7" t="s">
        <v>5</v>
      </c>
      <c r="Q5" s="7">
        <v>0.56000000000000005</v>
      </c>
      <c r="R5" s="61">
        <v>0.14000000000000001</v>
      </c>
    </row>
    <row r="6" spans="1:18" ht="35.25" x14ac:dyDescent="0.25">
      <c r="A6" s="47"/>
      <c r="B6" s="94" t="s">
        <v>8</v>
      </c>
      <c r="C6" s="94" t="s">
        <v>386</v>
      </c>
      <c r="D6" s="94" t="s">
        <v>387</v>
      </c>
      <c r="E6" s="86"/>
      <c r="G6" s="105" t="s">
        <v>433</v>
      </c>
      <c r="L6" s="12"/>
      <c r="M6" s="3"/>
      <c r="N6" s="3"/>
      <c r="O6" s="3"/>
      <c r="P6" s="3"/>
      <c r="Q6" s="3"/>
      <c r="R6" s="13"/>
    </row>
    <row r="7" spans="1:18" x14ac:dyDescent="0.25">
      <c r="A7" s="87" t="s">
        <v>383</v>
      </c>
      <c r="B7" s="75" t="s">
        <v>42</v>
      </c>
      <c r="C7" s="57"/>
      <c r="D7" s="93">
        <v>2.8250000000000002</v>
      </c>
      <c r="E7" s="54" t="s">
        <v>384</v>
      </c>
      <c r="L7" s="12" t="s">
        <v>474</v>
      </c>
      <c r="M7" s="3"/>
      <c r="N7" s="3"/>
      <c r="O7" s="3"/>
      <c r="P7" s="3"/>
      <c r="Q7" s="3"/>
      <c r="R7" s="61">
        <v>0.14000000000000001</v>
      </c>
    </row>
    <row r="8" spans="1:18" ht="15.75" thickBot="1" x14ac:dyDescent="0.3">
      <c r="A8" s="87" t="s">
        <v>80</v>
      </c>
      <c r="B8" s="3" t="s">
        <v>42</v>
      </c>
      <c r="C8" s="55"/>
      <c r="D8" s="55">
        <v>2.88</v>
      </c>
      <c r="E8" s="54" t="s">
        <v>384</v>
      </c>
      <c r="L8" s="14"/>
      <c r="M8" s="15"/>
      <c r="N8" s="15"/>
      <c r="O8" s="15"/>
      <c r="P8" s="15"/>
      <c r="Q8" s="15"/>
      <c r="R8" s="16"/>
    </row>
    <row r="9" spans="1:18" ht="15.75" thickBot="1" x14ac:dyDescent="0.3">
      <c r="A9" s="90" t="s">
        <v>17</v>
      </c>
      <c r="B9" s="26" t="s">
        <v>18</v>
      </c>
      <c r="C9" s="3">
        <v>2.7839999999999998</v>
      </c>
      <c r="D9" s="92">
        <v>2.141</v>
      </c>
      <c r="E9" s="54" t="s">
        <v>384</v>
      </c>
      <c r="G9" s="47" t="s">
        <v>373</v>
      </c>
      <c r="H9" s="48" t="s">
        <v>376</v>
      </c>
      <c r="I9" s="49" t="s">
        <v>377</v>
      </c>
    </row>
    <row r="10" spans="1:18" ht="60.75" thickBot="1" x14ac:dyDescent="0.3">
      <c r="A10" s="90" t="s">
        <v>37</v>
      </c>
      <c r="B10" s="26" t="s">
        <v>18</v>
      </c>
      <c r="C10" s="3">
        <v>0.44900000000000001</v>
      </c>
      <c r="D10" s="92">
        <v>3.5000000000000003E-2</v>
      </c>
      <c r="E10" s="54" t="s">
        <v>384</v>
      </c>
      <c r="G10" s="50" t="s">
        <v>374</v>
      </c>
      <c r="H10" s="51" t="s">
        <v>375</v>
      </c>
      <c r="I10" s="52" t="s">
        <v>378</v>
      </c>
      <c r="L10" s="59" t="s">
        <v>394</v>
      </c>
    </row>
    <row r="11" spans="1:18" ht="15.75" thickBot="1" x14ac:dyDescent="0.3">
      <c r="A11" s="90" t="s">
        <v>34</v>
      </c>
      <c r="B11" s="26" t="s">
        <v>18</v>
      </c>
      <c r="C11" s="3">
        <v>0.314</v>
      </c>
      <c r="D11" s="92">
        <v>3.7999999999999999E-2</v>
      </c>
      <c r="E11" s="54" t="s">
        <v>384</v>
      </c>
      <c r="L11" s="66" t="s">
        <v>418</v>
      </c>
    </row>
    <row r="12" spans="1:18" ht="18.75" x14ac:dyDescent="0.3">
      <c r="A12" s="90" t="s">
        <v>26</v>
      </c>
      <c r="B12" s="26" t="s">
        <v>18</v>
      </c>
      <c r="C12" s="3">
        <v>0.55800000000000005</v>
      </c>
      <c r="D12" s="92">
        <v>1.4E-2</v>
      </c>
      <c r="E12" s="54" t="s">
        <v>384</v>
      </c>
      <c r="G12" s="98" t="s">
        <v>414</v>
      </c>
      <c r="H12" s="48"/>
      <c r="I12" s="49"/>
      <c r="L12" s="66" t="s">
        <v>419</v>
      </c>
    </row>
    <row r="13" spans="1:18" ht="15.75" thickBot="1" x14ac:dyDescent="0.3">
      <c r="A13" s="87" t="s">
        <v>71</v>
      </c>
      <c r="B13" s="3" t="s">
        <v>42</v>
      </c>
      <c r="C13" s="55"/>
      <c r="D13" s="55">
        <v>3.3809999999999998</v>
      </c>
      <c r="E13" s="54" t="s">
        <v>384</v>
      </c>
      <c r="G13" s="53"/>
      <c r="H13" t="s">
        <v>379</v>
      </c>
      <c r="I13" s="54"/>
      <c r="L13" s="288" t="s">
        <v>546</v>
      </c>
    </row>
    <row r="14" spans="1:18" x14ac:dyDescent="0.25">
      <c r="A14" s="87" t="s">
        <v>87</v>
      </c>
      <c r="B14" s="3" t="s">
        <v>42</v>
      </c>
      <c r="C14" s="55"/>
      <c r="D14" s="55">
        <v>0.95199999999999996</v>
      </c>
      <c r="E14" s="54" t="s">
        <v>384</v>
      </c>
      <c r="G14" s="96" t="s">
        <v>90</v>
      </c>
      <c r="H14" s="55">
        <v>1.788</v>
      </c>
      <c r="I14" s="3" t="s">
        <v>91</v>
      </c>
      <c r="L14" s="170"/>
      <c r="M14" s="168"/>
      <c r="N14" s="168"/>
      <c r="O14" s="168"/>
      <c r="P14" s="169"/>
    </row>
    <row r="15" spans="1:18" x14ac:dyDescent="0.25">
      <c r="A15" s="87" t="s">
        <v>86</v>
      </c>
      <c r="B15" s="3" t="s">
        <v>42</v>
      </c>
      <c r="C15" s="55"/>
      <c r="D15" s="56">
        <v>2.02</v>
      </c>
      <c r="E15" s="54" t="s">
        <v>384</v>
      </c>
      <c r="G15" s="96" t="s">
        <v>43</v>
      </c>
      <c r="H15" s="55">
        <v>0.13700000000000001</v>
      </c>
      <c r="I15" s="42" t="s">
        <v>42</v>
      </c>
      <c r="L15" s="170" t="s">
        <v>452</v>
      </c>
      <c r="P15" s="171"/>
    </row>
    <row r="16" spans="1:18" ht="15.75" thickBot="1" x14ac:dyDescent="0.3">
      <c r="A16" s="87" t="s">
        <v>78</v>
      </c>
      <c r="B16" s="3" t="s">
        <v>42</v>
      </c>
      <c r="C16" s="55"/>
      <c r="D16" s="55">
        <v>2.7930000000000001</v>
      </c>
      <c r="E16" s="54" t="s">
        <v>384</v>
      </c>
      <c r="G16" s="96" t="s">
        <v>47</v>
      </c>
      <c r="H16" s="4">
        <v>0.17599999999999999</v>
      </c>
      <c r="I16" s="42" t="s">
        <v>42</v>
      </c>
      <c r="L16" s="170" t="s">
        <v>453</v>
      </c>
      <c r="N16">
        <v>15</v>
      </c>
      <c r="P16" s="171"/>
    </row>
    <row r="17" spans="1:16" ht="15.75" thickBot="1" x14ac:dyDescent="0.3">
      <c r="A17" s="87" t="s">
        <v>81</v>
      </c>
      <c r="B17" s="3" t="s">
        <v>42</v>
      </c>
      <c r="C17" s="55"/>
      <c r="D17" s="55">
        <v>2.6880000000000002</v>
      </c>
      <c r="E17" s="54" t="s">
        <v>384</v>
      </c>
      <c r="G17" s="96" t="s">
        <v>102</v>
      </c>
      <c r="H17" s="55">
        <v>0</v>
      </c>
      <c r="I17" s="3" t="s">
        <v>91</v>
      </c>
      <c r="L17" s="170" t="s">
        <v>455</v>
      </c>
      <c r="N17" s="167">
        <v>900</v>
      </c>
      <c r="O17" t="s">
        <v>454</v>
      </c>
      <c r="P17" s="171"/>
    </row>
    <row r="18" spans="1:16" x14ac:dyDescent="0.25">
      <c r="A18" s="87" t="s">
        <v>83</v>
      </c>
      <c r="B18" s="3" t="s">
        <v>42</v>
      </c>
      <c r="C18" s="55"/>
      <c r="D18" s="55">
        <v>2.5680000000000001</v>
      </c>
      <c r="E18" s="54" t="s">
        <v>384</v>
      </c>
      <c r="G18" s="96" t="s">
        <v>107</v>
      </c>
      <c r="H18" s="55">
        <v>0</v>
      </c>
      <c r="I18" s="3" t="s">
        <v>91</v>
      </c>
      <c r="L18" s="166"/>
      <c r="M18" s="172"/>
      <c r="N18" s="172"/>
      <c r="O18" s="172"/>
      <c r="P18" s="173"/>
    </row>
    <row r="19" spans="1:16" ht="15.75" thickBot="1" x14ac:dyDescent="0.3">
      <c r="A19" s="87" t="s">
        <v>82</v>
      </c>
      <c r="B19" s="3" t="s">
        <v>42</v>
      </c>
      <c r="C19" s="55"/>
      <c r="D19" s="55">
        <v>2.7280000000000002</v>
      </c>
      <c r="E19" s="54" t="s">
        <v>384</v>
      </c>
      <c r="G19" s="96" t="s">
        <v>105</v>
      </c>
      <c r="H19" s="55">
        <v>0</v>
      </c>
      <c r="I19" s="3" t="s">
        <v>91</v>
      </c>
    </row>
    <row r="20" spans="1:16" ht="15.75" thickBot="1" x14ac:dyDescent="0.3">
      <c r="A20" s="90" t="s">
        <v>29</v>
      </c>
      <c r="B20" s="26" t="s">
        <v>18</v>
      </c>
      <c r="C20" s="3">
        <v>3.262</v>
      </c>
      <c r="D20" s="92">
        <v>2.4740000000000002</v>
      </c>
      <c r="E20" s="54" t="s">
        <v>384</v>
      </c>
      <c r="G20" s="96" t="s">
        <v>106</v>
      </c>
      <c r="H20" s="55">
        <v>0</v>
      </c>
      <c r="I20" s="3" t="s">
        <v>91</v>
      </c>
      <c r="L20" s="214" t="s">
        <v>534</v>
      </c>
    </row>
    <row r="21" spans="1:16" ht="45.75" thickBot="1" x14ac:dyDescent="0.3">
      <c r="A21" s="87" t="s">
        <v>69</v>
      </c>
      <c r="B21" s="3" t="s">
        <v>42</v>
      </c>
      <c r="C21" s="55"/>
      <c r="D21" s="55">
        <v>2.7839999999999998</v>
      </c>
      <c r="E21" s="54" t="s">
        <v>384</v>
      </c>
      <c r="G21" s="96" t="s">
        <v>100</v>
      </c>
      <c r="H21" s="55">
        <v>0</v>
      </c>
      <c r="I21" s="3" t="s">
        <v>91</v>
      </c>
      <c r="L21" s="99" t="str">
        <f>+N21&amp;$M$21&amp;" jaar"</f>
        <v>Totale CO2 besparing over de opgegeven periode van 0 jaar</v>
      </c>
      <c r="M21" s="184">
        <f>IF('Energie , overige thema''s'!$C$3&gt;$H$4,$H$4,'Energie , overige thema''s'!C3)</f>
        <v>0</v>
      </c>
      <c r="N21" s="215" t="s">
        <v>463</v>
      </c>
    </row>
    <row r="22" spans="1:16" ht="15.75" thickBot="1" x14ac:dyDescent="0.3">
      <c r="A22" s="87" t="s">
        <v>68</v>
      </c>
      <c r="B22" s="3" t="s">
        <v>42</v>
      </c>
      <c r="C22" s="55"/>
      <c r="D22" s="55">
        <v>2.7930000000000001</v>
      </c>
      <c r="E22" s="54" t="s">
        <v>384</v>
      </c>
      <c r="G22" s="102" t="s">
        <v>424</v>
      </c>
      <c r="H22" s="4">
        <v>265</v>
      </c>
      <c r="I22" s="42" t="s">
        <v>426</v>
      </c>
      <c r="N22" s="99"/>
    </row>
    <row r="23" spans="1:16" ht="45.75" thickBot="1" x14ac:dyDescent="0.3">
      <c r="A23" s="87" t="s">
        <v>70</v>
      </c>
      <c r="B23" s="3" t="s">
        <v>42</v>
      </c>
      <c r="C23" s="55"/>
      <c r="D23" s="55">
        <v>3.2250000000000001</v>
      </c>
      <c r="E23" s="54" t="s">
        <v>384</v>
      </c>
      <c r="G23" s="96" t="s">
        <v>45</v>
      </c>
      <c r="H23" s="55">
        <v>2.9449999999999998</v>
      </c>
      <c r="I23" s="42" t="s">
        <v>42</v>
      </c>
      <c r="L23" s="99" t="str">
        <f>+N23&amp;$M$21&amp;" jaar"</f>
        <v>Totale CO2 toename over de opgegeven periode van 0 jaar</v>
      </c>
      <c r="M23" s="58"/>
      <c r="N23" s="215" t="s">
        <v>464</v>
      </c>
    </row>
    <row r="24" spans="1:16" x14ac:dyDescent="0.25">
      <c r="A24" s="87" t="s">
        <v>65</v>
      </c>
      <c r="B24" s="3" t="s">
        <v>42</v>
      </c>
      <c r="C24" s="55"/>
      <c r="D24" s="55">
        <v>2.1179999999999999</v>
      </c>
      <c r="E24" s="54" t="s">
        <v>384</v>
      </c>
      <c r="G24" s="96" t="s">
        <v>49</v>
      </c>
      <c r="H24" s="4">
        <v>1.631</v>
      </c>
      <c r="I24" s="42" t="s">
        <v>18</v>
      </c>
    </row>
    <row r="25" spans="1:16" ht="15.75" thickBot="1" x14ac:dyDescent="0.3">
      <c r="A25" s="87" t="s">
        <v>79</v>
      </c>
      <c r="B25" s="3" t="s">
        <v>42</v>
      </c>
      <c r="C25" s="55"/>
      <c r="D25" s="55">
        <v>2.9470000000000001</v>
      </c>
      <c r="E25" s="54" t="s">
        <v>384</v>
      </c>
      <c r="G25" s="96" t="s">
        <v>98</v>
      </c>
      <c r="H25" s="55">
        <v>1.53</v>
      </c>
      <c r="I25" s="3" t="s">
        <v>91</v>
      </c>
    </row>
    <row r="26" spans="1:16" ht="15.75" thickBot="1" x14ac:dyDescent="0.3">
      <c r="A26" s="87" t="s">
        <v>67</v>
      </c>
      <c r="B26" s="3" t="s">
        <v>42</v>
      </c>
      <c r="C26" s="55"/>
      <c r="D26" s="55">
        <v>3.0990000000000002</v>
      </c>
      <c r="E26" s="54" t="s">
        <v>384</v>
      </c>
      <c r="G26" s="96" t="s">
        <v>50</v>
      </c>
      <c r="H26" s="4">
        <v>0</v>
      </c>
      <c r="I26" s="42" t="s">
        <v>42</v>
      </c>
      <c r="L26" s="214" t="s">
        <v>535</v>
      </c>
    </row>
    <row r="27" spans="1:16" ht="45.75" thickBot="1" x14ac:dyDescent="0.3">
      <c r="A27" s="87" t="s">
        <v>73</v>
      </c>
      <c r="B27" s="3" t="s">
        <v>42</v>
      </c>
      <c r="C27" s="55"/>
      <c r="D27" s="55">
        <v>3.4319999999999999</v>
      </c>
      <c r="E27" s="54" t="s">
        <v>384</v>
      </c>
      <c r="G27" s="96" t="s">
        <v>52</v>
      </c>
      <c r="H27" s="4">
        <v>0</v>
      </c>
      <c r="I27" s="42" t="s">
        <v>42</v>
      </c>
      <c r="L27" s="99" t="str">
        <f>+N27&amp;$M$27&amp;" jaar"</f>
        <v>Totale CO2 besparing over de opgegeven periode van 0 jaar</v>
      </c>
      <c r="M27" s="184">
        <f>IF('Circulaire Economie'!$C$3&gt;$H$4,$H$4,'Circulaire Economie'!C3)</f>
        <v>0</v>
      </c>
      <c r="N27" s="215" t="s">
        <v>463</v>
      </c>
    </row>
    <row r="28" spans="1:16" ht="15.75" thickBot="1" x14ac:dyDescent="0.3">
      <c r="A28" s="87" t="s">
        <v>75</v>
      </c>
      <c r="B28" s="3" t="s">
        <v>42</v>
      </c>
      <c r="C28" s="55"/>
      <c r="D28" s="55">
        <v>2.911</v>
      </c>
      <c r="E28" s="54" t="s">
        <v>384</v>
      </c>
      <c r="G28" s="101"/>
      <c r="H28" s="4"/>
      <c r="I28" s="3"/>
    </row>
    <row r="29" spans="1:16" ht="45.75" thickBot="1" x14ac:dyDescent="0.3">
      <c r="A29" s="87" t="s">
        <v>74</v>
      </c>
      <c r="B29" s="3" t="s">
        <v>42</v>
      </c>
      <c r="C29" s="55"/>
      <c r="D29" s="55">
        <v>3.1520000000000001</v>
      </c>
      <c r="E29" s="54" t="s">
        <v>384</v>
      </c>
      <c r="G29" s="101"/>
      <c r="H29" s="4"/>
      <c r="I29" s="3"/>
      <c r="L29" s="99" t="str">
        <f>+N29&amp;$M$27&amp;" jaar"</f>
        <v>Totale CO2 toename over de opgegeven periode van 0 jaar</v>
      </c>
      <c r="M29" s="58"/>
      <c r="N29" s="215" t="s">
        <v>464</v>
      </c>
    </row>
    <row r="30" spans="1:16" x14ac:dyDescent="0.25">
      <c r="A30" s="87" t="s">
        <v>63</v>
      </c>
      <c r="B30" s="3" t="s">
        <v>42</v>
      </c>
      <c r="C30" s="55"/>
      <c r="D30" s="55">
        <v>3.13</v>
      </c>
      <c r="E30" s="54" t="s">
        <v>384</v>
      </c>
      <c r="G30" s="101"/>
      <c r="H30" s="4"/>
      <c r="I30" s="3"/>
    </row>
    <row r="31" spans="1:16" ht="25.35" customHeight="1" thickBot="1" x14ac:dyDescent="0.3">
      <c r="A31" s="88" t="s">
        <v>72</v>
      </c>
      <c r="B31" s="15" t="s">
        <v>42</v>
      </c>
      <c r="C31" s="89"/>
      <c r="D31" s="89">
        <v>3.0350000000000001</v>
      </c>
      <c r="E31" s="52" t="s">
        <v>384</v>
      </c>
      <c r="G31" s="101"/>
      <c r="H31" s="4"/>
      <c r="I31" s="3"/>
    </row>
    <row r="32" spans="1:16" ht="15.75" thickBot="1" x14ac:dyDescent="0.3">
      <c r="A32" s="91" t="s">
        <v>84</v>
      </c>
      <c r="B32" s="3" t="s">
        <v>42</v>
      </c>
      <c r="C32" s="55"/>
      <c r="D32" s="56">
        <v>2.327</v>
      </c>
      <c r="E32" s="52" t="s">
        <v>384</v>
      </c>
      <c r="L32" s="214" t="s">
        <v>536</v>
      </c>
    </row>
    <row r="33" spans="1:14" ht="45.75" thickBot="1" x14ac:dyDescent="0.3">
      <c r="A33" s="91" t="s">
        <v>89</v>
      </c>
      <c r="B33" s="3" t="s">
        <v>42</v>
      </c>
      <c r="C33" s="55"/>
      <c r="D33" s="55">
        <v>2.0179999999999998</v>
      </c>
      <c r="E33" s="52" t="s">
        <v>384</v>
      </c>
      <c r="L33" s="99" t="str">
        <f>+N33&amp;$M$33&amp;" jaar"</f>
        <v>Totale CO2 besparing over de opgegeven periode van 0 jaar</v>
      </c>
      <c r="M33" s="184">
        <f>IF('CCS en Negatieve Emissies'!$C$3&gt;$H$4,$H$4,'CCS en Negatieve Emissies'!C3)</f>
        <v>0</v>
      </c>
      <c r="N33" s="215" t="s">
        <v>463</v>
      </c>
    </row>
    <row r="34" spans="1:14" ht="15.75" thickBot="1" x14ac:dyDescent="0.3">
      <c r="A34" s="91" t="s">
        <v>60</v>
      </c>
      <c r="B34" s="3" t="s">
        <v>18</v>
      </c>
      <c r="C34" s="3"/>
      <c r="D34" s="55">
        <v>3.1850000000000001</v>
      </c>
      <c r="E34" s="52" t="s">
        <v>385</v>
      </c>
    </row>
    <row r="35" spans="1:14" ht="45.75" thickBot="1" x14ac:dyDescent="0.3">
      <c r="A35" s="91" t="s">
        <v>85</v>
      </c>
      <c r="B35" s="3" t="s">
        <v>42</v>
      </c>
      <c r="C35" s="55"/>
      <c r="D35" s="55">
        <v>1.8160000000000001</v>
      </c>
      <c r="E35" s="52" t="s">
        <v>384</v>
      </c>
      <c r="L35" s="99" t="str">
        <f>+N35&amp;$M$33&amp;" jaar"</f>
        <v>Totale CO2 toename over de opgegeven periode van 0 jaar</v>
      </c>
      <c r="M35" s="58"/>
      <c r="N35" s="215" t="s">
        <v>464</v>
      </c>
    </row>
    <row r="36" spans="1:14" ht="19.5" thickBot="1" x14ac:dyDescent="0.35">
      <c r="A36" s="91" t="s">
        <v>88</v>
      </c>
      <c r="B36" s="3" t="s">
        <v>42</v>
      </c>
      <c r="C36" s="55"/>
      <c r="D36" s="55">
        <v>1.0349999999999999</v>
      </c>
      <c r="E36" s="52" t="s">
        <v>384</v>
      </c>
      <c r="G36" s="97" t="s">
        <v>413</v>
      </c>
      <c r="H36" s="225"/>
      <c r="I36" s="225"/>
      <c r="J36" s="226"/>
    </row>
    <row r="37" spans="1:14" x14ac:dyDescent="0.25">
      <c r="G37" s="42" t="s">
        <v>110</v>
      </c>
      <c r="H37" s="3" t="s">
        <v>111</v>
      </c>
      <c r="I37" s="26">
        <v>8.9999999999999993E-3</v>
      </c>
      <c r="J37" s="3" t="s">
        <v>384</v>
      </c>
    </row>
    <row r="38" spans="1:14" ht="15.75" thickBot="1" x14ac:dyDescent="0.3">
      <c r="G38" s="42" t="s">
        <v>412</v>
      </c>
      <c r="H38" s="3" t="s">
        <v>111</v>
      </c>
      <c r="I38" s="26">
        <v>8.9999999999999993E-3</v>
      </c>
      <c r="J38" s="3" t="s">
        <v>384</v>
      </c>
      <c r="L38" s="213" t="s">
        <v>537</v>
      </c>
    </row>
    <row r="39" spans="1:14" ht="45.75" thickBot="1" x14ac:dyDescent="0.3">
      <c r="G39" s="95" t="s">
        <v>117</v>
      </c>
      <c r="H39" s="3" t="s">
        <v>111</v>
      </c>
      <c r="I39" s="26">
        <v>6.0000000000000001E-3</v>
      </c>
      <c r="J39" s="3" t="s">
        <v>384</v>
      </c>
      <c r="L39" s="99" t="str">
        <f>+N39&amp;$M$39&amp;" jaar"</f>
        <v>Totale CO2 besparing over de opgegeven periode van 0 jaar</v>
      </c>
      <c r="M39" s="184">
        <f>IF(CCU!$C$3&gt;$H$4,$H$4,CCU!C3)</f>
        <v>0</v>
      </c>
      <c r="N39" s="215" t="s">
        <v>463</v>
      </c>
    </row>
    <row r="40" spans="1:14" ht="15.75" thickBot="1" x14ac:dyDescent="0.3">
      <c r="G40" s="42" t="s">
        <v>119</v>
      </c>
      <c r="H40" s="3" t="s">
        <v>111</v>
      </c>
      <c r="I40" s="26">
        <v>6.0000000000000001E-3</v>
      </c>
      <c r="J40" s="3" t="s">
        <v>384</v>
      </c>
    </row>
    <row r="41" spans="1:14" ht="45.75" thickBot="1" x14ac:dyDescent="0.3">
      <c r="G41" s="42" t="s">
        <v>121</v>
      </c>
      <c r="H41" s="3" t="s">
        <v>111</v>
      </c>
      <c r="I41" s="26">
        <v>8.9999999999999993E-3</v>
      </c>
      <c r="J41" s="3" t="s">
        <v>384</v>
      </c>
      <c r="L41" s="99" t="str">
        <f>+N41&amp;$M$39&amp;" jaar"</f>
        <v>Totale CO2 toename over de opgegeven periode van 0 jaar</v>
      </c>
      <c r="M41" s="58"/>
      <c r="N41" s="215" t="s">
        <v>464</v>
      </c>
    </row>
    <row r="47" spans="1:14" x14ac:dyDescent="0.25">
      <c r="A47" s="91" t="s">
        <v>90</v>
      </c>
      <c r="B47" s="3" t="s">
        <v>91</v>
      </c>
      <c r="C47" s="55">
        <v>2.085</v>
      </c>
      <c r="D47" s="56">
        <v>1.788</v>
      </c>
      <c r="E47" s="3" t="s">
        <v>384</v>
      </c>
    </row>
    <row r="48" spans="1:14" x14ac:dyDescent="0.25">
      <c r="A48" s="91" t="s">
        <v>98</v>
      </c>
      <c r="B48" s="3" t="s">
        <v>18</v>
      </c>
      <c r="C48" s="55">
        <v>1.7250000000000001</v>
      </c>
      <c r="D48" s="56">
        <v>1.53</v>
      </c>
      <c r="E48" s="3" t="s">
        <v>384</v>
      </c>
    </row>
    <row r="49" spans="1:5" x14ac:dyDescent="0.25">
      <c r="A49" s="91" t="s">
        <v>100</v>
      </c>
      <c r="B49" s="3" t="s">
        <v>91</v>
      </c>
      <c r="C49" s="55">
        <v>0.39800000000000002</v>
      </c>
      <c r="D49" s="56">
        <v>0</v>
      </c>
      <c r="E49" s="3"/>
    </row>
    <row r="50" spans="1:5" x14ac:dyDescent="0.25">
      <c r="A50" s="91" t="s">
        <v>102</v>
      </c>
      <c r="B50" s="3" t="s">
        <v>91</v>
      </c>
      <c r="C50" s="55">
        <v>1.0389999999999999</v>
      </c>
      <c r="D50" s="56">
        <v>0</v>
      </c>
      <c r="E50" s="3"/>
    </row>
    <row r="51" spans="1:5" x14ac:dyDescent="0.25">
      <c r="A51" s="91" t="s">
        <v>105</v>
      </c>
      <c r="B51" s="3" t="s">
        <v>91</v>
      </c>
      <c r="C51" s="55">
        <v>0.46100000000000002</v>
      </c>
      <c r="D51" s="56">
        <v>0</v>
      </c>
      <c r="E51" s="3"/>
    </row>
    <row r="52" spans="1:5" x14ac:dyDescent="0.25">
      <c r="A52" s="91" t="s">
        <v>106</v>
      </c>
      <c r="B52" s="3" t="s">
        <v>91</v>
      </c>
      <c r="C52" s="55">
        <v>0.85899999999999999</v>
      </c>
      <c r="D52" s="56">
        <v>0</v>
      </c>
      <c r="E52" s="3"/>
    </row>
    <row r="53" spans="1:5" x14ac:dyDescent="0.25">
      <c r="A53" s="91" t="s">
        <v>107</v>
      </c>
      <c r="B53" s="3" t="s">
        <v>91</v>
      </c>
      <c r="C53" s="55">
        <v>0.72299999999999998</v>
      </c>
      <c r="D53" s="56">
        <v>0</v>
      </c>
      <c r="E53" s="3"/>
    </row>
    <row r="54" spans="1:5" x14ac:dyDescent="0.25">
      <c r="A54" s="3"/>
      <c r="B54" s="3"/>
      <c r="C54" s="3" t="s">
        <v>385</v>
      </c>
      <c r="D54" s="3"/>
      <c r="E54" s="3"/>
    </row>
  </sheetData>
  <sheetProtection algorithmName="SHA-512" hashValue="EPA8RED1Q9pyA3xZ899kKtr/4eXPP9FGuPTG3o1NbTxB6rOApsrr7yR37BFd6mDMubm+2+X4/7PQOv8vKiPZYA==" saltValue="QDoFdNZHb7Dwy6LAssZBbQ==" spinCount="100000" sheet="1" objects="1" scenarios="1"/>
  <sortState xmlns:xlrd2="http://schemas.microsoft.com/office/spreadsheetml/2017/richdata2" ref="G15:I27">
    <sortCondition ref="G14:G27"/>
  </sortState>
  <customSheetViews>
    <customSheetView guid="{468B9859-406B-47B7-B856-34BDC1863CB4}">
      <selection activeCell="D4" sqref="D4"/>
      <pageMargins left="0.7" right="0.7" top="0.75" bottom="0.75" header="0.3" footer="0.3"/>
      <pageSetup paperSize="9" orientation="portrait" r:id="rId1"/>
      <headerFooter>
        <oddFooter>&amp;L_x000D_&amp;1#&amp;"Calibri"&amp;10&amp;K000000 Intern gebruik</oddFooter>
      </headerFooter>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8542F-225A-41E5-AD49-BD2AD408F1D1}">
  <sheetPr codeName="Blad3">
    <tabColor rgb="FF0070C0"/>
  </sheetPr>
  <dimension ref="A1:M39"/>
  <sheetViews>
    <sheetView showGridLines="0" tabSelected="1" zoomScaleNormal="100" workbookViewId="0">
      <selection activeCell="M39" sqref="M39"/>
    </sheetView>
  </sheetViews>
  <sheetFormatPr defaultColWidth="0" defaultRowHeight="15" zeroHeight="1" x14ac:dyDescent="0.25"/>
  <cols>
    <col min="1" max="1" width="9" style="290" customWidth="1"/>
    <col min="2" max="5" width="9.140625" customWidth="1"/>
    <col min="6" max="6" width="7" customWidth="1"/>
    <col min="7" max="7" width="22.28515625" customWidth="1"/>
    <col min="8" max="8" width="7.28515625" customWidth="1"/>
    <col min="9" max="9" width="11.42578125" customWidth="1"/>
    <col min="10" max="13" width="9.140625" customWidth="1"/>
    <col min="14" max="16384" width="9.140625" hidden="1"/>
  </cols>
  <sheetData>
    <row r="1" spans="1:8" ht="109.5" customHeight="1" x14ac:dyDescent="0.25"/>
    <row r="2" spans="1:8" ht="27" x14ac:dyDescent="0.45">
      <c r="A2" s="291" t="s">
        <v>405</v>
      </c>
    </row>
    <row r="3" spans="1:8" x14ac:dyDescent="0.25"/>
    <row r="4" spans="1:8" x14ac:dyDescent="0.25">
      <c r="A4" s="290" t="s">
        <v>410</v>
      </c>
    </row>
    <row r="5" spans="1:8" x14ac:dyDescent="0.25">
      <c r="A5" s="292" t="s">
        <v>456</v>
      </c>
    </row>
    <row r="6" spans="1:8" x14ac:dyDescent="0.25">
      <c r="A6" s="290" t="s">
        <v>406</v>
      </c>
      <c r="B6" t="s">
        <v>407</v>
      </c>
      <c r="H6" s="30"/>
    </row>
    <row r="7" spans="1:8" x14ac:dyDescent="0.25">
      <c r="B7" t="s">
        <v>408</v>
      </c>
      <c r="H7" s="85"/>
    </row>
    <row r="8" spans="1:8" x14ac:dyDescent="0.25">
      <c r="B8" t="s">
        <v>409</v>
      </c>
    </row>
    <row r="9" spans="1:8" x14ac:dyDescent="0.25">
      <c r="B9" t="s">
        <v>427</v>
      </c>
    </row>
    <row r="10" spans="1:8" x14ac:dyDescent="0.25"/>
    <row r="11" spans="1:8" x14ac:dyDescent="0.25">
      <c r="B11" t="s">
        <v>515</v>
      </c>
    </row>
    <row r="12" spans="1:8" x14ac:dyDescent="0.25">
      <c r="B12" t="s">
        <v>555</v>
      </c>
    </row>
    <row r="13" spans="1:8" x14ac:dyDescent="0.25">
      <c r="B13" t="s">
        <v>554</v>
      </c>
    </row>
    <row r="14" spans="1:8" x14ac:dyDescent="0.25">
      <c r="B14" t="s">
        <v>552</v>
      </c>
    </row>
    <row r="15" spans="1:8" x14ac:dyDescent="0.25">
      <c r="B15" t="s">
        <v>553</v>
      </c>
    </row>
    <row r="16" spans="1:8" x14ac:dyDescent="0.25"/>
    <row r="17" spans="1:2" x14ac:dyDescent="0.25">
      <c r="B17" t="s">
        <v>604</v>
      </c>
    </row>
    <row r="18" spans="1:2" x14ac:dyDescent="0.25">
      <c r="B18" t="s">
        <v>465</v>
      </c>
    </row>
    <row r="19" spans="1:2" x14ac:dyDescent="0.25">
      <c r="B19" t="s">
        <v>466</v>
      </c>
    </row>
    <row r="20" spans="1:2" x14ac:dyDescent="0.25"/>
    <row r="21" spans="1:2" x14ac:dyDescent="0.25">
      <c r="B21" s="1" t="s">
        <v>556</v>
      </c>
    </row>
    <row r="22" spans="1:2" x14ac:dyDescent="0.25"/>
    <row r="23" spans="1:2" x14ac:dyDescent="0.25">
      <c r="A23" s="290">
        <v>1</v>
      </c>
      <c r="B23" t="s">
        <v>439</v>
      </c>
    </row>
    <row r="24" spans="1:2" x14ac:dyDescent="0.25">
      <c r="A24" s="290">
        <v>2</v>
      </c>
      <c r="B24" t="s">
        <v>428</v>
      </c>
    </row>
    <row r="25" spans="1:2" x14ac:dyDescent="0.25">
      <c r="A25" s="290">
        <v>3</v>
      </c>
      <c r="B25" t="s">
        <v>411</v>
      </c>
    </row>
    <row r="26" spans="1:2" x14ac:dyDescent="0.25">
      <c r="A26" s="290">
        <v>4</v>
      </c>
      <c r="B26" t="s">
        <v>411</v>
      </c>
    </row>
    <row r="27" spans="1:2" x14ac:dyDescent="0.25">
      <c r="A27" s="290">
        <v>5</v>
      </c>
      <c r="B27" t="s">
        <v>435</v>
      </c>
    </row>
    <row r="28" spans="1:2" x14ac:dyDescent="0.25">
      <c r="A28" s="290">
        <v>6</v>
      </c>
      <c r="B28" t="s">
        <v>440</v>
      </c>
    </row>
    <row r="29" spans="1:2" x14ac:dyDescent="0.25">
      <c r="B29" t="s">
        <v>533</v>
      </c>
    </row>
    <row r="30" spans="1:2" x14ac:dyDescent="0.25">
      <c r="A30" s="290">
        <v>7</v>
      </c>
      <c r="B30" t="s">
        <v>471</v>
      </c>
    </row>
    <row r="31" spans="1:2" x14ac:dyDescent="0.25"/>
    <row r="32" spans="1:2" x14ac:dyDescent="0.25">
      <c r="B32" s="1" t="s">
        <v>550</v>
      </c>
    </row>
    <row r="33" spans="2:9" ht="15.75" thickBot="1" x14ac:dyDescent="0.3"/>
    <row r="34" spans="2:9" ht="15.75" thickBot="1" x14ac:dyDescent="0.3">
      <c r="B34" t="s">
        <v>434</v>
      </c>
      <c r="H34" s="134">
        <f>+Datasheet!H4</f>
        <v>15</v>
      </c>
      <c r="I34" t="s">
        <v>429</v>
      </c>
    </row>
    <row r="35" spans="2:9" x14ac:dyDescent="0.25"/>
    <row r="36" spans="2:9" x14ac:dyDescent="0.25"/>
    <row r="37" spans="2:9" x14ac:dyDescent="0.25"/>
    <row r="38" spans="2:9" x14ac:dyDescent="0.25"/>
    <row r="39" spans="2:9" x14ac:dyDescent="0.25"/>
  </sheetData>
  <sheetProtection algorithmName="SHA-512" hashValue="+jTB/AQcceZCVrHgitbp1aWKutBi487wDMewKnTd+QUZOpgpIc6sFzH9Zp23GyRsQblH6oATYadKzzAYVn+ylw==" saltValue="TK5T7hW36ZAXhERyUJE8Xg==" spinCount="100000" sheet="1" objects="1" scenarios="1"/>
  <customSheetViews>
    <customSheetView guid="{468B9859-406B-47B7-B856-34BDC1863CB4}" showGridLines="0">
      <selection activeCell="E24" sqref="E24"/>
      <pageMargins left="0.7" right="0.7" top="0.75" bottom="0.75" header="0.3" footer="0.3"/>
    </customSheetView>
  </customSheetViews>
  <hyperlinks>
    <hyperlink ref="A5" r:id="rId1" display="https://www.co2emissiefactoren.nl/" xr:uid="{E5ACADFD-0871-4FC5-A9C1-9D6B6F32087B}"/>
  </hyperlinks>
  <pageMargins left="0.7" right="0.7" top="0.75" bottom="0.75" header="0.3" footer="0.3"/>
  <pageSetup paperSize="9" scale="72"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B51C-95FC-4567-95D5-B7AC080EDBCC}">
  <sheetPr codeName="Blad4">
    <tabColor rgb="FF00B050"/>
    <pageSetUpPr fitToPage="1"/>
  </sheetPr>
  <dimension ref="A1:O53"/>
  <sheetViews>
    <sheetView showGridLines="0" zoomScale="115" zoomScaleNormal="115" workbookViewId="0">
      <selection activeCell="C50" sqref="C50"/>
    </sheetView>
  </sheetViews>
  <sheetFormatPr defaultColWidth="0" defaultRowHeight="15" zeroHeight="1" x14ac:dyDescent="0.25"/>
  <cols>
    <col min="1" max="1" width="2.42578125" customWidth="1"/>
    <col min="2" max="2" width="37" customWidth="1"/>
    <col min="3" max="3" width="35.85546875" customWidth="1"/>
    <col min="4" max="4" width="8.28515625" customWidth="1"/>
    <col min="5" max="5" width="15.28515625" customWidth="1"/>
    <col min="6" max="6" width="0.7109375" customWidth="1"/>
    <col min="7" max="7" width="17.28515625" customWidth="1"/>
    <col min="8" max="8" width="0.7109375" customWidth="1"/>
    <col min="9" max="9" width="15.5703125" customWidth="1"/>
    <col min="10" max="10" width="0.7109375" customWidth="1"/>
    <col min="11" max="11" width="15.5703125" customWidth="1"/>
    <col min="12" max="12" width="0.7109375" customWidth="1"/>
    <col min="13" max="13" width="15.5703125" customWidth="1"/>
    <col min="14" max="14" width="0.7109375" customWidth="1"/>
    <col min="15" max="15" width="9.140625" customWidth="1"/>
    <col min="16" max="16384" width="9.140625" hidden="1"/>
  </cols>
  <sheetData>
    <row r="1" spans="1:14" ht="15" customHeight="1" thickBot="1" x14ac:dyDescent="0.3">
      <c r="G1" s="80" t="s">
        <v>402</v>
      </c>
    </row>
    <row r="2" spans="1:14" ht="20.25" customHeight="1" thickBot="1" x14ac:dyDescent="0.4">
      <c r="B2" s="82" t="s">
        <v>396</v>
      </c>
      <c r="C2" s="82" t="s">
        <v>445</v>
      </c>
      <c r="G2" s="79" t="s">
        <v>399</v>
      </c>
    </row>
    <row r="3" spans="1:14" ht="28.9" customHeight="1" thickBot="1" x14ac:dyDescent="0.3">
      <c r="B3" s="103" t="s">
        <v>444</v>
      </c>
      <c r="C3" s="106"/>
      <c r="G3" s="81" t="s">
        <v>400</v>
      </c>
    </row>
    <row r="4" spans="1:14" ht="15" customHeight="1" thickBot="1" x14ac:dyDescent="0.3">
      <c r="C4" s="284" t="str">
        <f>IF($C$3&gt;15,"Let op Maximaal 15 jaar!","")</f>
        <v/>
      </c>
    </row>
    <row r="5" spans="1:14" ht="24" thickBot="1" x14ac:dyDescent="0.4">
      <c r="B5" s="181" t="s">
        <v>459</v>
      </c>
      <c r="F5" s="73"/>
      <c r="G5" s="76" t="s">
        <v>380</v>
      </c>
      <c r="H5" s="131"/>
      <c r="I5" s="77" t="s">
        <v>391</v>
      </c>
      <c r="J5" s="131"/>
      <c r="K5" s="77" t="s">
        <v>392</v>
      </c>
      <c r="L5" s="131"/>
      <c r="M5" s="78" t="s">
        <v>393</v>
      </c>
      <c r="N5" s="73"/>
    </row>
    <row r="6" spans="1:14" ht="15.75" thickBot="1" x14ac:dyDescent="0.3">
      <c r="C6" s="76" t="s">
        <v>388</v>
      </c>
      <c r="D6" s="279" t="s">
        <v>8</v>
      </c>
      <c r="E6" s="280" t="s">
        <v>467</v>
      </c>
      <c r="F6" s="73"/>
      <c r="G6" s="176" t="s">
        <v>395</v>
      </c>
      <c r="H6" s="177"/>
      <c r="I6" s="178" t="s">
        <v>395</v>
      </c>
      <c r="J6" s="177"/>
      <c r="K6" s="179" t="s">
        <v>403</v>
      </c>
      <c r="L6" s="177"/>
      <c r="M6" s="180" t="s">
        <v>404</v>
      </c>
      <c r="N6" s="73"/>
    </row>
    <row r="7" spans="1:14" ht="15.75" thickBot="1" x14ac:dyDescent="0.3">
      <c r="A7">
        <v>1</v>
      </c>
      <c r="B7" s="118" t="s">
        <v>381</v>
      </c>
      <c r="C7" s="119"/>
      <c r="D7" s="135" t="str">
        <f>IFERROR(VLOOKUP($C7,Datasheet!$G$14:$I$26,3)," ")</f>
        <v xml:space="preserve"> </v>
      </c>
      <c r="E7" s="217">
        <f>IFERROR(VLOOKUP($C7,Datasheet!$G$14:$I$26,2),0)</f>
        <v>0</v>
      </c>
      <c r="F7" s="73"/>
      <c r="G7" s="126"/>
      <c r="H7" s="73"/>
      <c r="I7" s="126"/>
      <c r="J7" s="124"/>
      <c r="K7" s="142">
        <f>+I7-G7</f>
        <v>0</v>
      </c>
      <c r="L7" s="143"/>
      <c r="M7" s="144">
        <f>+K7*E7</f>
        <v>0</v>
      </c>
      <c r="N7" s="73"/>
    </row>
    <row r="8" spans="1:14" ht="15.75" thickBot="1" x14ac:dyDescent="0.3">
      <c r="B8" s="58" t="s">
        <v>381</v>
      </c>
      <c r="C8" s="121"/>
      <c r="D8" s="137" t="str">
        <f>IFERROR(VLOOKUP($C8,Datasheet!$G$14:$I$26,3)," ")</f>
        <v xml:space="preserve"> </v>
      </c>
      <c r="E8" s="138">
        <f>IFERROR(VLOOKUP($C8,Datasheet!$G$14:$I$26,2),0)</f>
        <v>0</v>
      </c>
      <c r="F8" s="115"/>
      <c r="G8" s="128"/>
      <c r="H8" s="129"/>
      <c r="I8" s="128"/>
      <c r="J8" s="125"/>
      <c r="K8" s="142">
        <f t="shared" ref="K8:K13" si="0">+I8-G8</f>
        <v>0</v>
      </c>
      <c r="L8" s="145"/>
      <c r="M8" s="144">
        <f t="shared" ref="M8:M9" si="1">+K8*E8</f>
        <v>0</v>
      </c>
      <c r="N8" s="73"/>
    </row>
    <row r="9" spans="1:14" ht="15.75" thickBot="1" x14ac:dyDescent="0.3">
      <c r="B9" s="58" t="s">
        <v>381</v>
      </c>
      <c r="C9" s="120"/>
      <c r="D9" s="137" t="str">
        <f>IFERROR(VLOOKUP($C9,Datasheet!$G$14:$I$26,3)," ")</f>
        <v xml:space="preserve"> </v>
      </c>
      <c r="E9" s="138">
        <f>IFERROR(VLOOKUP($C9,Datasheet!$G$14:$I$26,2),0)</f>
        <v>0</v>
      </c>
      <c r="F9" s="115"/>
      <c r="G9" s="127"/>
      <c r="H9" s="129"/>
      <c r="I9" s="127"/>
      <c r="J9" s="125"/>
      <c r="K9" s="142">
        <f t="shared" si="0"/>
        <v>0</v>
      </c>
      <c r="L9" s="145"/>
      <c r="M9" s="144">
        <f t="shared" si="1"/>
        <v>0</v>
      </c>
      <c r="N9" s="73"/>
    </row>
    <row r="10" spans="1:14" ht="15.75" thickBot="1" x14ac:dyDescent="0.3">
      <c r="C10" s="6"/>
      <c r="D10" s="139"/>
      <c r="E10" s="140"/>
      <c r="F10" s="73"/>
      <c r="G10" s="232"/>
      <c r="H10" s="147"/>
      <c r="I10" s="233"/>
      <c r="J10" s="73"/>
      <c r="K10" s="146"/>
      <c r="L10" s="147"/>
      <c r="M10" s="148"/>
      <c r="N10" s="73"/>
    </row>
    <row r="11" spans="1:14" ht="15.75" thickBot="1" x14ac:dyDescent="0.3">
      <c r="A11">
        <v>2</v>
      </c>
      <c r="B11" s="58" t="s">
        <v>441</v>
      </c>
      <c r="C11" s="121"/>
      <c r="D11" s="141" t="str">
        <f>IFERROR(VLOOKUP($C11,Datasheet!$G$37:$J$41,2,)," ")</f>
        <v xml:space="preserve"> </v>
      </c>
      <c r="E11" s="138">
        <f>IFERROR(VLOOKUP($C11,Datasheet!$G$37:$J$41,3,),0)</f>
        <v>0</v>
      </c>
      <c r="F11" s="115"/>
      <c r="G11" s="130"/>
      <c r="H11" s="131"/>
      <c r="I11" s="132"/>
      <c r="J11" s="125"/>
      <c r="K11" s="142">
        <f t="shared" si="0"/>
        <v>0</v>
      </c>
      <c r="L11" s="145"/>
      <c r="M11" s="144">
        <f>+K11*E11</f>
        <v>0</v>
      </c>
      <c r="N11" s="73"/>
    </row>
    <row r="12" spans="1:14" ht="15.75" thickBot="1" x14ac:dyDescent="0.3">
      <c r="C12" s="6"/>
      <c r="D12" s="139"/>
      <c r="E12" s="140"/>
      <c r="F12" s="73"/>
      <c r="G12" s="116"/>
      <c r="H12" s="73"/>
      <c r="I12" s="117"/>
      <c r="J12" s="73"/>
      <c r="K12" s="146"/>
      <c r="L12" s="147"/>
      <c r="M12" s="148"/>
      <c r="N12" s="73"/>
    </row>
    <row r="13" spans="1:14" ht="15.75" thickBot="1" x14ac:dyDescent="0.3">
      <c r="A13">
        <v>3</v>
      </c>
      <c r="B13" s="58" t="s">
        <v>442</v>
      </c>
      <c r="C13" s="121"/>
      <c r="D13" s="137" t="str">
        <f>IFERROR(VLOOKUP($C13,Datasheet!$A$7:'Datasheet'!$E$36,2),"")</f>
        <v/>
      </c>
      <c r="E13" s="138">
        <f>IFERROR(VLOOKUP($C$13,Datasheet!$A$7:$E$31,4),0)</f>
        <v>0</v>
      </c>
      <c r="F13" s="73"/>
      <c r="G13" s="130"/>
      <c r="H13" s="131"/>
      <c r="I13" s="132"/>
      <c r="J13" s="125"/>
      <c r="K13" s="142">
        <f t="shared" si="0"/>
        <v>0</v>
      </c>
      <c r="L13" s="145"/>
      <c r="M13" s="144">
        <f>+K13*E13</f>
        <v>0</v>
      </c>
      <c r="N13" s="73"/>
    </row>
    <row r="14" spans="1:14" ht="15.75" thickBot="1" x14ac:dyDescent="0.3">
      <c r="C14" s="6"/>
      <c r="D14" s="139"/>
      <c r="E14" s="140"/>
      <c r="F14" s="73"/>
      <c r="G14" s="232"/>
      <c r="H14" s="147"/>
      <c r="I14" s="233"/>
      <c r="J14" s="73"/>
      <c r="K14" s="146"/>
      <c r="L14" s="147"/>
      <c r="M14" s="148"/>
      <c r="N14" s="73"/>
    </row>
    <row r="15" spans="1:14" ht="15.75" thickBot="1" x14ac:dyDescent="0.3">
      <c r="A15">
        <v>4</v>
      </c>
      <c r="B15" s="58" t="s">
        <v>442</v>
      </c>
      <c r="C15" s="121"/>
      <c r="D15" s="137" t="str">
        <f>IFERROR(VLOOKUP($C$15,Datasheet!$A$7:$E$36,2),"")</f>
        <v/>
      </c>
      <c r="E15" s="138">
        <f>IFERROR(VLOOKUP($C$15,Datasheet!$A$7:$E$31,4),0)</f>
        <v>0</v>
      </c>
      <c r="F15" s="73"/>
      <c r="G15" s="130"/>
      <c r="H15" s="131"/>
      <c r="I15" s="132"/>
      <c r="J15" s="125"/>
      <c r="K15" s="142">
        <f>+I15-G15</f>
        <v>0</v>
      </c>
      <c r="L15" s="145"/>
      <c r="M15" s="144">
        <f>+K15*E15</f>
        <v>0</v>
      </c>
      <c r="N15" s="73"/>
    </row>
    <row r="16" spans="1:14" ht="15.75" thickBot="1" x14ac:dyDescent="0.3">
      <c r="C16" s="6"/>
      <c r="E16" s="63"/>
      <c r="F16" s="73"/>
      <c r="G16" s="232"/>
      <c r="H16" s="147"/>
      <c r="I16" s="233"/>
      <c r="J16" s="73"/>
      <c r="K16" s="146"/>
      <c r="L16" s="147"/>
      <c r="M16" s="148"/>
      <c r="N16" s="73"/>
    </row>
    <row r="17" spans="1:14" ht="15.75" thickBot="1" x14ac:dyDescent="0.3">
      <c r="A17">
        <v>5</v>
      </c>
      <c r="B17" s="58" t="s">
        <v>602</v>
      </c>
      <c r="C17" s="162"/>
      <c r="D17" s="277"/>
      <c r="E17" s="123"/>
      <c r="F17" s="73">
        <v>123</v>
      </c>
      <c r="G17" s="130"/>
      <c r="H17" s="131"/>
      <c r="I17" s="132"/>
      <c r="J17" s="125"/>
      <c r="K17" s="142">
        <f>+I17-G17</f>
        <v>0</v>
      </c>
      <c r="L17" s="145"/>
      <c r="M17" s="144">
        <f>IFERROR(+K17*E17,"Getal in kolom E")</f>
        <v>0</v>
      </c>
      <c r="N17" s="73"/>
    </row>
    <row r="18" spans="1:14" ht="15.75" thickBot="1" x14ac:dyDescent="0.3">
      <c r="B18" s="58" t="s">
        <v>415</v>
      </c>
      <c r="C18" s="278"/>
      <c r="D18" s="159"/>
      <c r="E18" s="160"/>
      <c r="F18" s="73"/>
      <c r="G18" s="230"/>
      <c r="H18" s="147"/>
      <c r="I18" s="231"/>
      <c r="J18" s="73"/>
      <c r="K18" s="146"/>
      <c r="L18" s="147"/>
      <c r="M18" s="148"/>
      <c r="N18" s="73"/>
    </row>
    <row r="19" spans="1:14" ht="15.75" thickBot="1" x14ac:dyDescent="0.3">
      <c r="C19" s="174"/>
      <c r="D19" s="159"/>
      <c r="E19" s="160"/>
      <c r="F19" s="73"/>
      <c r="G19" s="230"/>
      <c r="H19" s="147"/>
      <c r="I19" s="231"/>
      <c r="J19" s="73"/>
      <c r="K19" s="146"/>
      <c r="L19" s="147"/>
      <c r="M19" s="148"/>
      <c r="N19" s="73"/>
    </row>
    <row r="20" spans="1:14" ht="15.75" thickBot="1" x14ac:dyDescent="0.3">
      <c r="A20">
        <v>6</v>
      </c>
      <c r="B20" s="3" t="s">
        <v>443</v>
      </c>
      <c r="C20" s="27" t="s">
        <v>390</v>
      </c>
      <c r="D20" s="3" t="s">
        <v>130</v>
      </c>
      <c r="E20" s="138">
        <f>Datasheet!$R$5</f>
        <v>0.14000000000000001</v>
      </c>
      <c r="F20" s="73"/>
      <c r="G20" s="130"/>
      <c r="H20" s="131"/>
      <c r="I20" s="132"/>
      <c r="J20" s="133"/>
      <c r="K20" s="149">
        <f>+I20-G20</f>
        <v>0</v>
      </c>
      <c r="L20" s="150"/>
      <c r="M20" s="151">
        <f>+K20*E20</f>
        <v>0</v>
      </c>
      <c r="N20" s="73"/>
    </row>
    <row r="21" spans="1:14" x14ac:dyDescent="0.25">
      <c r="C21" s="6"/>
      <c r="E21" s="227"/>
      <c r="G21" s="83"/>
      <c r="I21" s="83"/>
      <c r="K21" s="108"/>
      <c r="M21" s="108"/>
    </row>
    <row r="22" spans="1:14" x14ac:dyDescent="0.25">
      <c r="C22" s="6"/>
      <c r="E22" s="227"/>
      <c r="G22" s="83"/>
      <c r="I22" s="83"/>
      <c r="K22" s="108"/>
      <c r="M22" s="108"/>
    </row>
    <row r="23" spans="1:14" ht="15.75" thickBot="1" x14ac:dyDescent="0.3">
      <c r="C23" s="174"/>
      <c r="D23" s="159"/>
      <c r="E23" s="160"/>
      <c r="G23" s="83"/>
      <c r="I23" s="83"/>
      <c r="K23" s="108"/>
      <c r="M23" s="108"/>
    </row>
    <row r="24" spans="1:14" ht="24" thickBot="1" x14ac:dyDescent="0.4">
      <c r="B24" s="181" t="s">
        <v>460</v>
      </c>
      <c r="C24" s="174"/>
      <c r="D24" s="159"/>
      <c r="E24" s="160"/>
      <c r="F24" s="73"/>
      <c r="G24" s="76" t="s">
        <v>380</v>
      </c>
      <c r="H24" s="131"/>
      <c r="I24" s="77" t="s">
        <v>391</v>
      </c>
      <c r="J24" s="131"/>
      <c r="K24" s="199" t="s">
        <v>392</v>
      </c>
      <c r="L24" s="131"/>
      <c r="M24" s="193" t="s">
        <v>393</v>
      </c>
      <c r="N24" s="73"/>
    </row>
    <row r="25" spans="1:14" ht="15.75" thickBot="1" x14ac:dyDescent="0.3">
      <c r="C25" s="76" t="s">
        <v>388</v>
      </c>
      <c r="D25" s="77" t="s">
        <v>8</v>
      </c>
      <c r="E25" s="78" t="s">
        <v>467</v>
      </c>
      <c r="F25" s="73"/>
      <c r="G25" s="176" t="s">
        <v>461</v>
      </c>
      <c r="H25" s="177"/>
      <c r="I25" s="178" t="s">
        <v>461</v>
      </c>
      <c r="J25" s="192"/>
      <c r="K25" s="3" t="s">
        <v>462</v>
      </c>
      <c r="L25" s="195"/>
      <c r="M25" s="194" t="s">
        <v>404</v>
      </c>
      <c r="N25" s="73"/>
    </row>
    <row r="26" spans="1:14" ht="15.75" thickBot="1" x14ac:dyDescent="0.3">
      <c r="A26">
        <v>1</v>
      </c>
      <c r="B26" s="118" t="s">
        <v>381</v>
      </c>
      <c r="C26" s="121"/>
      <c r="D26" s="137" t="str">
        <f>IFERROR(VLOOKUP($C26,Datasheet!$G$14:$I$26,3)," ")</f>
        <v xml:space="preserve"> </v>
      </c>
      <c r="E26" s="138">
        <f>IFERROR(VLOOKUP($C26,Datasheet!$G$14:$I$26,2),0)</f>
        <v>0</v>
      </c>
      <c r="F26" s="73"/>
      <c r="G26" s="130"/>
      <c r="H26" s="73"/>
      <c r="I26" s="130"/>
      <c r="J26" s="73"/>
      <c r="K26" s="142">
        <f>+I26-G26</f>
        <v>0</v>
      </c>
      <c r="L26" s="196"/>
      <c r="M26" s="142">
        <f>+K26*E26</f>
        <v>0</v>
      </c>
      <c r="N26" s="73"/>
    </row>
    <row r="27" spans="1:14" ht="15.75" thickBot="1" x14ac:dyDescent="0.3">
      <c r="B27" s="58" t="s">
        <v>381</v>
      </c>
      <c r="C27" s="120"/>
      <c r="D27" s="137" t="str">
        <f>IFERROR(VLOOKUP($C27,Datasheet!$G$14:$I$26,3)," ")</f>
        <v xml:space="preserve"> </v>
      </c>
      <c r="E27" s="138">
        <f>IFERROR(VLOOKUP($C27,Datasheet!$G$14:$I$26,2),0)</f>
        <v>0</v>
      </c>
      <c r="F27" s="73"/>
      <c r="G27" s="130"/>
      <c r="H27" s="73"/>
      <c r="I27" s="130"/>
      <c r="J27" s="73"/>
      <c r="K27" s="142">
        <f>+I27-G27</f>
        <v>0</v>
      </c>
      <c r="L27" s="197"/>
      <c r="M27" s="142">
        <f>+K27*E27</f>
        <v>0</v>
      </c>
      <c r="N27" s="73"/>
    </row>
    <row r="28" spans="1:14" ht="15.75" thickBot="1" x14ac:dyDescent="0.3">
      <c r="A28">
        <v>2</v>
      </c>
      <c r="B28" s="58" t="s">
        <v>441</v>
      </c>
      <c r="C28" s="121"/>
      <c r="D28" s="141" t="str">
        <f>IFERROR(VLOOKUP($C28,Datasheet!$G$37:$J$41,2,)," ")</f>
        <v xml:space="preserve"> </v>
      </c>
      <c r="E28" s="138">
        <f>IFERROR(VLOOKUP($C28,Datasheet!$G$37:$J$41,3,),0)</f>
        <v>0</v>
      </c>
      <c r="F28" s="115"/>
      <c r="G28" s="130"/>
      <c r="H28" s="131"/>
      <c r="I28" s="132"/>
      <c r="J28" s="129"/>
      <c r="K28" s="142">
        <f>+I28-G28</f>
        <v>0</v>
      </c>
      <c r="L28" s="198"/>
      <c r="M28" s="142">
        <f>+K28*E28</f>
        <v>0</v>
      </c>
      <c r="N28" s="73"/>
    </row>
    <row r="29" spans="1:14" ht="15.75" thickBot="1" x14ac:dyDescent="0.3">
      <c r="C29" s="174"/>
      <c r="D29" s="191"/>
      <c r="E29" s="191"/>
      <c r="F29" s="73"/>
      <c r="G29" s="230"/>
      <c r="H29" s="147"/>
      <c r="I29" s="231"/>
      <c r="J29" s="73"/>
      <c r="K29" s="142"/>
      <c r="L29" s="147"/>
      <c r="M29" s="142"/>
      <c r="N29" s="73"/>
    </row>
    <row r="30" spans="1:14" ht="15.75" thickBot="1" x14ac:dyDescent="0.3">
      <c r="A30">
        <v>5</v>
      </c>
      <c r="B30" s="58" t="s">
        <v>602</v>
      </c>
      <c r="C30" s="106"/>
      <c r="D30" s="122"/>
      <c r="E30" s="123"/>
      <c r="F30" s="73"/>
      <c r="G30" s="130"/>
      <c r="H30" s="131"/>
      <c r="I30" s="132"/>
      <c r="J30" s="129"/>
      <c r="K30" s="142">
        <f>+I30-G30</f>
        <v>0</v>
      </c>
      <c r="L30" s="197"/>
      <c r="M30" s="144">
        <f>IFERROR(+K30*E30,"Getal in kolom E")</f>
        <v>0</v>
      </c>
      <c r="N30" s="73"/>
    </row>
    <row r="31" spans="1:14" ht="15.75" thickBot="1" x14ac:dyDescent="0.3">
      <c r="B31" s="58" t="s">
        <v>415</v>
      </c>
      <c r="C31" s="106"/>
      <c r="D31" s="159"/>
      <c r="E31" s="160"/>
      <c r="F31" s="73"/>
      <c r="G31" s="230"/>
      <c r="H31" s="147"/>
      <c r="I31" s="231"/>
      <c r="J31" s="73"/>
      <c r="K31" s="146"/>
      <c r="L31" s="147"/>
      <c r="M31" s="148"/>
      <c r="N31" s="73"/>
    </row>
    <row r="32" spans="1:14" ht="15.75" thickBot="1" x14ac:dyDescent="0.3">
      <c r="C32" s="228" t="str">
        <f>IF(AND(NOT($C$33=""),$C$33&lt;Datasheet!$N$16),"Let op , u heeft minder dan 15 kW(Piek) ingevuld","")</f>
        <v/>
      </c>
      <c r="D32" s="159"/>
      <c r="E32" s="160"/>
      <c r="F32" s="73"/>
      <c r="G32" s="230"/>
      <c r="H32" s="147"/>
      <c r="I32" s="231"/>
      <c r="J32" s="73"/>
      <c r="K32" s="146"/>
      <c r="L32" s="147"/>
      <c r="M32" s="148"/>
      <c r="N32" s="73"/>
    </row>
    <row r="33" spans="1:14" ht="15.75" thickBot="1" x14ac:dyDescent="0.3">
      <c r="A33">
        <v>7</v>
      </c>
      <c r="B33" s="118" t="s">
        <v>472</v>
      </c>
      <c r="C33" s="111"/>
      <c r="D33" s="165" t="s">
        <v>473</v>
      </c>
      <c r="E33" s="163"/>
      <c r="F33" s="73"/>
      <c r="G33" s="230"/>
      <c r="H33" s="147"/>
      <c r="I33" s="231"/>
      <c r="J33" s="73"/>
      <c r="K33" s="139"/>
      <c r="L33" s="175"/>
      <c r="M33" s="139"/>
      <c r="N33" s="73"/>
    </row>
    <row r="34" spans="1:14" ht="15.75" thickBot="1" x14ac:dyDescent="0.3">
      <c r="B34" s="166" t="s">
        <v>450</v>
      </c>
      <c r="C34" s="106"/>
      <c r="D34" s="165" t="s">
        <v>451</v>
      </c>
      <c r="E34" s="164">
        <f>+Datasheet!$R$7</f>
        <v>0.14000000000000001</v>
      </c>
      <c r="F34" s="73"/>
      <c r="G34" s="281">
        <v>0</v>
      </c>
      <c r="H34" s="282"/>
      <c r="I34" s="281">
        <f>IF($C$34&gt;900,Datasheet!$N$17*-$C$33,$C$34*-$C$33)</f>
        <v>0</v>
      </c>
      <c r="J34" s="125"/>
      <c r="K34" s="142">
        <f>+I34</f>
        <v>0</v>
      </c>
      <c r="L34" s="145"/>
      <c r="M34" s="142">
        <f>+K34*E34</f>
        <v>0</v>
      </c>
      <c r="N34" s="73"/>
    </row>
    <row r="35" spans="1:14" x14ac:dyDescent="0.25">
      <c r="C35" s="228" t="str">
        <f>IF($C$34&gt;Datasheet!$N$17,"Let op , gerekend is met het maximaal aantal zon uren van  "&amp;Datasheet!$N$17&amp;" uur","")</f>
        <v/>
      </c>
      <c r="E35" s="84"/>
      <c r="G35" s="83"/>
      <c r="I35" s="83"/>
      <c r="K35" s="186"/>
      <c r="L35" s="139"/>
      <c r="M35" s="186"/>
    </row>
    <row r="36" spans="1:14" x14ac:dyDescent="0.25">
      <c r="K36" s="139"/>
      <c r="L36" s="139"/>
      <c r="M36" s="139"/>
    </row>
    <row r="37" spans="1:14" ht="15.75" thickBot="1" x14ac:dyDescent="0.3">
      <c r="C37" s="6"/>
      <c r="E37" s="84"/>
      <c r="G37" s="83"/>
      <c r="I37" s="83"/>
      <c r="K37" s="186"/>
      <c r="L37" s="139"/>
      <c r="M37" s="234"/>
    </row>
    <row r="38" spans="1:14" ht="15.75" thickBot="1" x14ac:dyDescent="0.3">
      <c r="C38" s="6"/>
      <c r="E38" s="84"/>
      <c r="G38" s="107"/>
      <c r="I38" s="83"/>
      <c r="K38" s="71" t="s">
        <v>417</v>
      </c>
      <c r="L38" s="58"/>
      <c r="M38" s="152">
        <f>SUM(M7:M34)</f>
        <v>0</v>
      </c>
    </row>
    <row r="39" spans="1:14" x14ac:dyDescent="0.25">
      <c r="B39" s="68" t="s">
        <v>416</v>
      </c>
      <c r="C39" s="69"/>
      <c r="D39" s="49"/>
      <c r="E39" s="63"/>
      <c r="G39" s="64"/>
      <c r="I39" s="64"/>
      <c r="K39" s="65"/>
      <c r="M39" s="72"/>
    </row>
    <row r="40" spans="1:14" ht="15.75" thickBot="1" x14ac:dyDescent="0.3">
      <c r="B40" s="53"/>
      <c r="C40" s="6"/>
      <c r="D40" s="54"/>
      <c r="E40" s="63"/>
      <c r="I40" s="64"/>
      <c r="K40" s="65"/>
    </row>
    <row r="41" spans="1:14" ht="15.75" thickBot="1" x14ac:dyDescent="0.3">
      <c r="B41" s="70" t="str">
        <f>IF($M$38&lt;=0,Datasheet!$L$11,Datasheet!$L$12)</f>
        <v>Totale besparing CO2/jaar</v>
      </c>
      <c r="C41" s="153">
        <f>-M38</f>
        <v>0</v>
      </c>
      <c r="D41" s="54" t="s">
        <v>382</v>
      </c>
      <c r="E41" s="63"/>
    </row>
    <row r="42" spans="1:14" ht="15.75" thickBot="1" x14ac:dyDescent="0.3">
      <c r="B42" s="50"/>
      <c r="C42" s="154">
        <f>+C41/1000</f>
        <v>0</v>
      </c>
      <c r="D42" s="52" t="s">
        <v>420</v>
      </c>
      <c r="E42" s="63"/>
    </row>
    <row r="43" spans="1:14" ht="15.75" thickBot="1" x14ac:dyDescent="0.3">
      <c r="C43" s="6"/>
      <c r="E43" s="63"/>
    </row>
    <row r="44" spans="1:14" ht="30.75" thickBot="1" x14ac:dyDescent="0.3">
      <c r="B44" s="183" t="str">
        <f>IF($M$38&lt;=0,Datasheet!$L$21,Datasheet!$L$23)</f>
        <v>Totale CO2 besparing over de opgegeven periode van 0 jaar</v>
      </c>
      <c r="C44" s="182">
        <f>IF($C$3&gt;Datasheet!$H$4,+C42*Datasheet!$H$4,$C$42*$C$3)</f>
        <v>0</v>
      </c>
      <c r="D44" s="100" t="s">
        <v>420</v>
      </c>
    </row>
    <row r="45" spans="1:14" ht="15.75" thickBot="1" x14ac:dyDescent="0.3">
      <c r="B45" s="189" t="str">
        <f>IF($C$3&lt;=0,"Vul de levensduur in boven aan het blad!","")</f>
        <v>Vul de levensduur in boven aan het blad!</v>
      </c>
      <c r="C45" s="6"/>
    </row>
    <row r="46" spans="1:14" ht="15.75" thickBot="1" x14ac:dyDescent="0.3">
      <c r="B46" s="59" t="s">
        <v>421</v>
      </c>
      <c r="C46" s="111"/>
      <c r="D46" s="110" t="s">
        <v>422</v>
      </c>
    </row>
    <row r="47" spans="1:14" ht="30.75" thickBot="1" x14ac:dyDescent="0.3">
      <c r="B47" s="50" t="s">
        <v>437</v>
      </c>
      <c r="C47" s="155">
        <f>IFERROR(+C46/C44,0)</f>
        <v>0</v>
      </c>
      <c r="D47" s="112" t="s">
        <v>423</v>
      </c>
    </row>
    <row r="48" spans="1:14" x14ac:dyDescent="0.25">
      <c r="B48" s="229"/>
    </row>
    <row r="49" spans="2:3" ht="15.75" thickBot="1" x14ac:dyDescent="0.3"/>
    <row r="50" spans="2:3" x14ac:dyDescent="0.25">
      <c r="B50" s="113" t="s">
        <v>397</v>
      </c>
      <c r="C50" s="6"/>
    </row>
    <row r="51" spans="2:3" ht="15.75" thickBot="1" x14ac:dyDescent="0.3">
      <c r="B51" s="114" t="s">
        <v>609</v>
      </c>
      <c r="C51" s="6"/>
    </row>
    <row r="52" spans="2:3" x14ac:dyDescent="0.25">
      <c r="C52" s="6"/>
    </row>
    <row r="53" spans="2:3" x14ac:dyDescent="0.25">
      <c r="C53" s="6"/>
    </row>
  </sheetData>
  <sheetProtection algorithmName="SHA-512" hashValue="U2IKcBneJo+HMiHNawIR6HOi5FKYi6voteSRcWVfe3Egy9xfaFapflkF+B5bWj99hlN0LgGnmSsIGg5qTRkfAg==" saltValue="/IqXHEaNDzp2f4x5C9hW6g==" spinCount="100000" sheet="1" objects="1" scenarios="1"/>
  <dataConsolidate/>
  <customSheetViews>
    <customSheetView guid="{468B9859-406B-47B7-B856-34BDC1863CB4}" scale="80" showGridLines="0" fitToPage="1">
      <selection activeCell="I15" sqref="I15"/>
      <pageMargins left="0.7" right="0.7" top="0.75" bottom="0.75" header="0.3" footer="0.3"/>
      <pageSetup paperSize="9" scale="84" orientation="landscape" r:id="rId1"/>
      <headerFooter>
        <oddFooter>&amp;L_x000D_&amp;1#&amp;"Calibri"&amp;10&amp;K000000 Intern gebruik</oddFooter>
      </headerFooter>
    </customSheetView>
  </customSheetViews>
  <conditionalFormatting sqref="C41:C42">
    <cfRule type="cellIs" dxfId="81" priority="23" operator="lessThan">
      <formula>0</formula>
    </cfRule>
    <cfRule type="cellIs" dxfId="80" priority="24" operator="greaterThan">
      <formula>0</formula>
    </cfRule>
  </conditionalFormatting>
  <conditionalFormatting sqref="C44">
    <cfRule type="cellIs" dxfId="79" priority="43" operator="lessThan">
      <formula>0</formula>
    </cfRule>
    <cfRule type="cellIs" dxfId="78" priority="44" operator="greaterThan">
      <formula>0</formula>
    </cfRule>
  </conditionalFormatting>
  <conditionalFormatting sqref="M7:M9">
    <cfRule type="cellIs" dxfId="77" priority="35" operator="greaterThan">
      <formula>0</formula>
    </cfRule>
    <cfRule type="cellIs" dxfId="76" priority="36" operator="lessThan">
      <formula>0</formula>
    </cfRule>
  </conditionalFormatting>
  <conditionalFormatting sqref="M11">
    <cfRule type="cellIs" dxfId="75" priority="33" operator="greaterThan">
      <formula>0</formula>
    </cfRule>
    <cfRule type="cellIs" dxfId="74" priority="34" operator="lessThan">
      <formula>0</formula>
    </cfRule>
  </conditionalFormatting>
  <conditionalFormatting sqref="M13">
    <cfRule type="cellIs" dxfId="73" priority="31" operator="greaterThan">
      <formula>0</formula>
    </cfRule>
    <cfRule type="cellIs" dxfId="72" priority="32" operator="lessThan">
      <formula>0</formula>
    </cfRule>
  </conditionalFormatting>
  <conditionalFormatting sqref="M15">
    <cfRule type="cellIs" dxfId="71" priority="29" operator="greaterThan">
      <formula>0</formula>
    </cfRule>
    <cfRule type="cellIs" dxfId="70" priority="30" operator="lessThan">
      <formula>0</formula>
    </cfRule>
  </conditionalFormatting>
  <conditionalFormatting sqref="M17:M23">
    <cfRule type="cellIs" dxfId="69" priority="27" operator="greaterThan">
      <formula>0</formula>
    </cfRule>
    <cfRule type="cellIs" dxfId="68" priority="28" operator="lessThan">
      <formula>0</formula>
    </cfRule>
  </conditionalFormatting>
  <conditionalFormatting sqref="M26:M32">
    <cfRule type="cellIs" dxfId="67" priority="1" operator="greaterThan">
      <formula>0</formula>
    </cfRule>
    <cfRule type="cellIs" dxfId="66" priority="2" operator="lessThan">
      <formula>0</formula>
    </cfRule>
  </conditionalFormatting>
  <conditionalFormatting sqref="M34">
    <cfRule type="cellIs" dxfId="65" priority="19" operator="greaterThan">
      <formula>0</formula>
    </cfRule>
    <cfRule type="cellIs" dxfId="64" priority="20" operator="lessThan">
      <formula>0</formula>
    </cfRule>
  </conditionalFormatting>
  <pageMargins left="0.7" right="0.7" top="0.75" bottom="0.75" header="0.3" footer="0.3"/>
  <pageSetup paperSize="9" scale="58"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r:uid="{A50DD52E-2544-4D01-AEA2-F94E50C1EC99}">
          <x14:formula1>
            <xm:f>Datasheet!$G$14:$G$27</xm:f>
          </x14:formula1>
          <xm:sqref>C7:C9 C26:C27</xm:sqref>
        </x14:dataValidation>
        <x14:dataValidation type="list" allowBlank="1" showInputMessage="1" showErrorMessage="1" xr:uid="{75C13D07-D136-42AA-BB9C-F20A4CF228E4}">
          <x14:formula1>
            <xm:f>Datasheet!$A$7:$A$36</xm:f>
          </x14:formula1>
          <xm:sqref>C13 C15</xm:sqref>
        </x14:dataValidation>
        <x14:dataValidation type="list" allowBlank="1" showInputMessage="1" showErrorMessage="1" xr:uid="{00216725-6C14-4B73-A37A-853D7CDEECC5}">
          <x14:formula1>
            <xm:f>Datasheet!$G$37:$G$41</xm:f>
          </x14:formula1>
          <xm:sqref>C11 C28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F741-2B2F-4D14-B59E-86814320F7B4}">
  <sheetPr>
    <tabColor rgb="FF00B050"/>
  </sheetPr>
  <dimension ref="A1:O54"/>
  <sheetViews>
    <sheetView showGridLines="0" zoomScale="115" zoomScaleNormal="115" workbookViewId="0">
      <selection activeCell="I3" sqref="I3"/>
    </sheetView>
  </sheetViews>
  <sheetFormatPr defaultColWidth="0" defaultRowHeight="15" zeroHeight="1" x14ac:dyDescent="0.25"/>
  <cols>
    <col min="1" max="1" width="2.42578125" customWidth="1"/>
    <col min="2" max="2" width="37" customWidth="1"/>
    <col min="3" max="3" width="37.7109375" customWidth="1"/>
    <col min="4" max="4" width="8.28515625" customWidth="1"/>
    <col min="5" max="5" width="15.7109375" customWidth="1"/>
    <col min="6" max="6" width="0.7109375" customWidth="1"/>
    <col min="7" max="7" width="18" customWidth="1"/>
    <col min="8" max="8" width="0.7109375" customWidth="1"/>
    <col min="9" max="9" width="15.7109375" customWidth="1"/>
    <col min="10" max="10" width="0.7109375" customWidth="1"/>
    <col min="11" max="11" width="15.7109375" customWidth="1"/>
    <col min="12" max="12" width="0.7109375" customWidth="1"/>
    <col min="13" max="13" width="15.7109375" customWidth="1"/>
    <col min="14" max="14" width="0.7109375" customWidth="1"/>
    <col min="15" max="15" width="9.140625" customWidth="1"/>
    <col min="16" max="16384" width="9.140625" hidden="1"/>
  </cols>
  <sheetData>
    <row r="1" spans="1:14" ht="15" customHeight="1" thickBot="1" x14ac:dyDescent="0.3">
      <c r="G1" s="80" t="s">
        <v>402</v>
      </c>
    </row>
    <row r="2" spans="1:14" ht="20.25" customHeight="1" thickBot="1" x14ac:dyDescent="0.4">
      <c r="B2" s="82" t="s">
        <v>396</v>
      </c>
      <c r="C2" s="82" t="s">
        <v>519</v>
      </c>
      <c r="G2" s="79" t="s">
        <v>399</v>
      </c>
    </row>
    <row r="3" spans="1:14" ht="28.9" customHeight="1" thickBot="1" x14ac:dyDescent="0.3">
      <c r="B3" s="103" t="s">
        <v>444</v>
      </c>
      <c r="C3" s="106"/>
      <c r="G3" s="81" t="s">
        <v>400</v>
      </c>
    </row>
    <row r="4" spans="1:14" ht="28.9" customHeight="1" x14ac:dyDescent="0.25">
      <c r="B4" s="103"/>
      <c r="C4" s="284" t="str">
        <f>IF($C$3&gt;15,"Let op Maximaal 15 jaar!","")</f>
        <v/>
      </c>
      <c r="G4" s="216"/>
    </row>
    <row r="5" spans="1:14" ht="24" thickBot="1" x14ac:dyDescent="0.4">
      <c r="B5" s="181" t="s">
        <v>544</v>
      </c>
    </row>
    <row r="6" spans="1:14" ht="46.5" customHeight="1" thickBot="1" x14ac:dyDescent="0.3">
      <c r="B6" s="293" t="s">
        <v>589</v>
      </c>
      <c r="F6" s="73"/>
      <c r="G6" s="76" t="s">
        <v>380</v>
      </c>
      <c r="H6" s="131"/>
      <c r="I6" s="77" t="s">
        <v>391</v>
      </c>
      <c r="J6" s="131"/>
      <c r="K6" s="77" t="s">
        <v>392</v>
      </c>
      <c r="L6" s="131"/>
      <c r="M6" s="78" t="s">
        <v>393</v>
      </c>
    </row>
    <row r="7" spans="1:14" ht="15" customHeight="1" thickBot="1" x14ac:dyDescent="0.3">
      <c r="C7" s="76" t="s">
        <v>545</v>
      </c>
      <c r="D7" s="77" t="s">
        <v>8</v>
      </c>
      <c r="E7" s="78" t="s">
        <v>467</v>
      </c>
      <c r="F7" s="73"/>
      <c r="G7" s="176" t="s">
        <v>516</v>
      </c>
      <c r="H7" s="177"/>
      <c r="I7" s="178" t="s">
        <v>516</v>
      </c>
      <c r="J7" s="177"/>
      <c r="K7" s="179" t="s">
        <v>517</v>
      </c>
      <c r="L7" s="177"/>
      <c r="M7" s="180" t="s">
        <v>404</v>
      </c>
    </row>
    <row r="8" spans="1:14" ht="15" customHeight="1" thickBot="1" x14ac:dyDescent="0.3">
      <c r="A8">
        <v>1</v>
      </c>
      <c r="B8" s="118" t="s">
        <v>541</v>
      </c>
      <c r="C8" s="220" t="s">
        <v>518</v>
      </c>
      <c r="D8" s="135" t="s">
        <v>42</v>
      </c>
      <c r="E8" s="217">
        <v>1</v>
      </c>
      <c r="F8" s="73"/>
      <c r="G8" s="126"/>
      <c r="H8" s="73"/>
      <c r="I8" s="126"/>
      <c r="J8" s="124"/>
      <c r="K8" s="142">
        <f>+I8-G8</f>
        <v>0</v>
      </c>
      <c r="L8" s="143"/>
      <c r="M8" s="144">
        <f>-1*(+K8*E8)</f>
        <v>0</v>
      </c>
    </row>
    <row r="9" spans="1:14" ht="15" customHeight="1" thickBot="1" x14ac:dyDescent="0.3">
      <c r="B9" s="58"/>
      <c r="C9" s="218" t="s">
        <v>540</v>
      </c>
      <c r="D9" s="137" t="s">
        <v>42</v>
      </c>
      <c r="E9" s="138">
        <v>1</v>
      </c>
      <c r="F9" s="115"/>
      <c r="G9" s="128"/>
      <c r="H9" s="129"/>
      <c r="I9" s="128"/>
      <c r="J9" s="125"/>
      <c r="K9" s="142">
        <f t="shared" ref="K9:K11" si="0">+I9-G9</f>
        <v>0</v>
      </c>
      <c r="L9" s="145"/>
      <c r="M9" s="144">
        <f>-1*(+K9*E9)</f>
        <v>0</v>
      </c>
    </row>
    <row r="10" spans="1:14" ht="15" customHeight="1" thickBot="1" x14ac:dyDescent="0.3">
      <c r="C10" s="219"/>
      <c r="D10" s="139"/>
      <c r="E10" s="140"/>
      <c r="F10" s="73"/>
      <c r="G10" s="232"/>
      <c r="H10" s="147"/>
      <c r="I10" s="233"/>
      <c r="J10" s="147"/>
      <c r="K10" s="142"/>
      <c r="L10" s="147"/>
      <c r="M10" s="148"/>
    </row>
    <row r="11" spans="1:14" ht="15" customHeight="1" thickBot="1" x14ac:dyDescent="0.3">
      <c r="A11">
        <v>2</v>
      </c>
      <c r="B11" s="58" t="s">
        <v>542</v>
      </c>
      <c r="C11" s="218" t="s">
        <v>543</v>
      </c>
      <c r="D11" s="137" t="s">
        <v>42</v>
      </c>
      <c r="E11" s="138">
        <v>1</v>
      </c>
      <c r="F11" s="115"/>
      <c r="G11" s="130"/>
      <c r="H11" s="131"/>
      <c r="I11" s="132"/>
      <c r="J11" s="125"/>
      <c r="K11" s="149">
        <f t="shared" si="0"/>
        <v>0</v>
      </c>
      <c r="L11" s="145"/>
      <c r="M11" s="151">
        <f>-1*(+K11*E11)</f>
        <v>0</v>
      </c>
    </row>
    <row r="12" spans="1:14" ht="15" customHeight="1" x14ac:dyDescent="0.25">
      <c r="C12" s="221"/>
      <c r="D12" s="139"/>
      <c r="E12" s="224"/>
      <c r="G12" s="158"/>
      <c r="I12" s="158"/>
      <c r="K12" s="186"/>
      <c r="L12" s="139"/>
      <c r="M12" s="186"/>
    </row>
    <row r="13" spans="1:14" ht="24" thickBot="1" x14ac:dyDescent="0.4">
      <c r="B13" s="181" t="s">
        <v>547</v>
      </c>
      <c r="C13" s="189"/>
    </row>
    <row r="14" spans="1:14" ht="63" customHeight="1" thickBot="1" x14ac:dyDescent="0.3">
      <c r="B14" s="293" t="s">
        <v>590</v>
      </c>
      <c r="F14" s="73"/>
      <c r="G14" s="76" t="s">
        <v>380</v>
      </c>
      <c r="H14" s="131"/>
      <c r="I14" s="77" t="s">
        <v>391</v>
      </c>
      <c r="J14" s="131"/>
      <c r="K14" s="77" t="s">
        <v>392</v>
      </c>
      <c r="L14" s="131"/>
      <c r="M14" s="78" t="s">
        <v>393</v>
      </c>
      <c r="N14" s="73"/>
    </row>
    <row r="15" spans="1:14" ht="15.75" thickBot="1" x14ac:dyDescent="0.3">
      <c r="C15" s="76" t="s">
        <v>388</v>
      </c>
      <c r="D15" s="77" t="s">
        <v>8</v>
      </c>
      <c r="E15" s="193" t="s">
        <v>467</v>
      </c>
      <c r="F15" s="73"/>
      <c r="G15" s="176" t="s">
        <v>395</v>
      </c>
      <c r="H15" s="177"/>
      <c r="I15" s="178" t="s">
        <v>395</v>
      </c>
      <c r="J15" s="177"/>
      <c r="K15" s="179" t="s">
        <v>403</v>
      </c>
      <c r="L15" s="177"/>
      <c r="M15" s="180" t="s">
        <v>404</v>
      </c>
      <c r="N15" s="73"/>
    </row>
    <row r="16" spans="1:14" ht="15.75" thickBot="1" x14ac:dyDescent="0.3">
      <c r="A16">
        <v>1</v>
      </c>
      <c r="B16" s="118" t="s">
        <v>381</v>
      </c>
      <c r="C16" s="119"/>
      <c r="D16" s="135" t="str">
        <f>IFERROR(VLOOKUP($C16,Datasheet!$G$14:$I$26,3)," ")</f>
        <v xml:space="preserve"> </v>
      </c>
      <c r="E16" s="138">
        <f>IFERROR(VLOOKUP($C16,Datasheet!$G$14:$I$26,2),0)</f>
        <v>0</v>
      </c>
      <c r="F16" s="73"/>
      <c r="G16" s="126"/>
      <c r="H16" s="73"/>
      <c r="I16" s="126"/>
      <c r="J16" s="124"/>
      <c r="K16" s="142">
        <f>+I16-G16</f>
        <v>0</v>
      </c>
      <c r="L16" s="143"/>
      <c r="M16" s="144">
        <f>+K16*E16</f>
        <v>0</v>
      </c>
      <c r="N16" s="73"/>
    </row>
    <row r="17" spans="1:14" ht="15.75" thickBot="1" x14ac:dyDescent="0.3">
      <c r="B17" s="58" t="s">
        <v>381</v>
      </c>
      <c r="C17" s="121"/>
      <c r="D17" s="137" t="str">
        <f>IFERROR(VLOOKUP($C17,Datasheet!$G$14:$I$26,3)," ")</f>
        <v xml:space="preserve"> </v>
      </c>
      <c r="E17" s="136">
        <f>IFERROR(VLOOKUP($C17,Datasheet!$G$14:$I$26,2),0)</f>
        <v>0</v>
      </c>
      <c r="F17" s="115"/>
      <c r="G17" s="128"/>
      <c r="H17" s="129"/>
      <c r="I17" s="128"/>
      <c r="J17" s="125"/>
      <c r="K17" s="142">
        <f t="shared" ref="K17:K22" si="1">+I17-G17</f>
        <v>0</v>
      </c>
      <c r="L17" s="145"/>
      <c r="M17" s="144">
        <f t="shared" ref="M17:M18" si="2">+K17*E17</f>
        <v>0</v>
      </c>
      <c r="N17" s="73"/>
    </row>
    <row r="18" spans="1:14" ht="15.75" thickBot="1" x14ac:dyDescent="0.3">
      <c r="B18" s="58" t="s">
        <v>381</v>
      </c>
      <c r="C18" s="120"/>
      <c r="D18" s="137" t="str">
        <f>IFERROR(VLOOKUP($C18,Datasheet!$G$14:$I$26,3)," ")</f>
        <v xml:space="preserve"> </v>
      </c>
      <c r="E18" s="138">
        <f>IFERROR(VLOOKUP($C18,Datasheet!$G$14:$I$26,2),0)</f>
        <v>0</v>
      </c>
      <c r="F18" s="115"/>
      <c r="G18" s="127"/>
      <c r="H18" s="129"/>
      <c r="I18" s="127"/>
      <c r="J18" s="125"/>
      <c r="K18" s="142">
        <f t="shared" si="1"/>
        <v>0</v>
      </c>
      <c r="L18" s="145"/>
      <c r="M18" s="144">
        <f t="shared" si="2"/>
        <v>0</v>
      </c>
      <c r="N18" s="73"/>
    </row>
    <row r="19" spans="1:14" ht="15.75" thickBot="1" x14ac:dyDescent="0.3">
      <c r="C19" s="6"/>
      <c r="D19" s="139"/>
      <c r="E19" s="140"/>
      <c r="F19" s="73"/>
      <c r="G19" s="232"/>
      <c r="H19" s="147"/>
      <c r="I19" s="233"/>
      <c r="J19" s="147"/>
      <c r="K19" s="146"/>
      <c r="L19" s="147"/>
      <c r="M19" s="148"/>
      <c r="N19" s="73"/>
    </row>
    <row r="20" spans="1:14" ht="15.75" thickBot="1" x14ac:dyDescent="0.3">
      <c r="A20">
        <v>2</v>
      </c>
      <c r="B20" s="58" t="s">
        <v>441</v>
      </c>
      <c r="C20" s="121"/>
      <c r="D20" s="141" t="str">
        <f>IFERROR(VLOOKUP($C20,Datasheet!$G$37:$J$41,2,)," ")</f>
        <v xml:space="preserve"> </v>
      </c>
      <c r="E20" s="138">
        <f>IFERROR(VLOOKUP($C20,Datasheet!$G$37:$J$41,3,),0)</f>
        <v>0</v>
      </c>
      <c r="F20" s="115"/>
      <c r="G20" s="130"/>
      <c r="H20" s="131"/>
      <c r="I20" s="132"/>
      <c r="J20" s="125"/>
      <c r="K20" s="142">
        <f t="shared" si="1"/>
        <v>0</v>
      </c>
      <c r="L20" s="145"/>
      <c r="M20" s="144">
        <f>+K20*E20</f>
        <v>0</v>
      </c>
      <c r="N20" s="73"/>
    </row>
    <row r="21" spans="1:14" ht="15.75" thickBot="1" x14ac:dyDescent="0.3">
      <c r="C21" s="6"/>
      <c r="D21" s="139"/>
      <c r="E21" s="140"/>
      <c r="F21" s="73"/>
      <c r="G21" s="232"/>
      <c r="H21" s="147"/>
      <c r="I21" s="233"/>
      <c r="J21" s="147"/>
      <c r="K21" s="146"/>
      <c r="L21" s="147"/>
      <c r="M21" s="148"/>
      <c r="N21" s="73"/>
    </row>
    <row r="22" spans="1:14" ht="15.75" thickBot="1" x14ac:dyDescent="0.3">
      <c r="A22">
        <v>3</v>
      </c>
      <c r="B22" s="58" t="s">
        <v>442</v>
      </c>
      <c r="C22" s="121"/>
      <c r="D22" s="137" t="str">
        <f>IFERROR(VLOOKUP($C22,Datasheet!$A$7:'Datasheet'!$E$36,2),"")</f>
        <v/>
      </c>
      <c r="E22" s="138">
        <f>IFERROR(VLOOKUP($C$22,Datasheet!$A$7:$E$31,4),0)</f>
        <v>0</v>
      </c>
      <c r="F22" s="73"/>
      <c r="G22" s="130"/>
      <c r="H22" s="131"/>
      <c r="I22" s="132"/>
      <c r="J22" s="125"/>
      <c r="K22" s="142">
        <f t="shared" si="1"/>
        <v>0</v>
      </c>
      <c r="L22" s="145"/>
      <c r="M22" s="144">
        <f>+K22*E22</f>
        <v>0</v>
      </c>
      <c r="N22" s="73"/>
    </row>
    <row r="23" spans="1:14" ht="15.75" thickBot="1" x14ac:dyDescent="0.3">
      <c r="C23" s="6"/>
      <c r="D23" s="139"/>
      <c r="E23" s="140"/>
      <c r="F23" s="73"/>
      <c r="G23" s="232"/>
      <c r="H23" s="147"/>
      <c r="I23" s="233"/>
      <c r="J23" s="147"/>
      <c r="K23" s="146"/>
      <c r="L23" s="147"/>
      <c r="M23" s="148"/>
      <c r="N23" s="73"/>
    </row>
    <row r="24" spans="1:14" ht="15.75" thickBot="1" x14ac:dyDescent="0.3">
      <c r="A24">
        <v>4</v>
      </c>
      <c r="B24" s="58" t="s">
        <v>442</v>
      </c>
      <c r="C24" s="121"/>
      <c r="D24" s="137" t="str">
        <f>IFERROR(VLOOKUP($C$24,Datasheet!$A$7:$E$36,2),"")</f>
        <v/>
      </c>
      <c r="E24" s="138">
        <f>IFERROR(VLOOKUP($C$24,Datasheet!$A$7:$E$31,4),0)</f>
        <v>0</v>
      </c>
      <c r="F24" s="73"/>
      <c r="G24" s="130"/>
      <c r="H24" s="131"/>
      <c r="I24" s="132"/>
      <c r="J24" s="125"/>
      <c r="K24" s="142">
        <f>+I24-G24</f>
        <v>0</v>
      </c>
      <c r="L24" s="145"/>
      <c r="M24" s="144">
        <f>+K24*E24</f>
        <v>0</v>
      </c>
      <c r="N24" s="73"/>
    </row>
    <row r="25" spans="1:14" ht="15.75" thickBot="1" x14ac:dyDescent="0.3">
      <c r="C25" s="6"/>
      <c r="E25" s="63"/>
      <c r="F25" s="73"/>
      <c r="G25" s="232"/>
      <c r="H25" s="147"/>
      <c r="I25" s="233"/>
      <c r="J25" s="147"/>
      <c r="K25" s="146"/>
      <c r="L25" s="147"/>
      <c r="M25" s="148"/>
      <c r="N25" s="73"/>
    </row>
    <row r="26" spans="1:14" ht="15.75" thickBot="1" x14ac:dyDescent="0.3">
      <c r="A26">
        <v>5</v>
      </c>
      <c r="B26" s="58" t="s">
        <v>602</v>
      </c>
      <c r="C26" s="106"/>
      <c r="D26" s="122"/>
      <c r="E26" s="123"/>
      <c r="F26" s="73"/>
      <c r="G26" s="130"/>
      <c r="H26" s="131"/>
      <c r="I26" s="132"/>
      <c r="J26" s="125"/>
      <c r="K26" s="142">
        <f>+I26-G26</f>
        <v>0</v>
      </c>
      <c r="L26" s="145"/>
      <c r="M26" s="144">
        <f>IFERROR(+K26*E26,"Getal in kolom E")</f>
        <v>0</v>
      </c>
      <c r="N26" s="73"/>
    </row>
    <row r="27" spans="1:14" ht="15.75" thickBot="1" x14ac:dyDescent="0.3">
      <c r="B27" s="58" t="s">
        <v>415</v>
      </c>
      <c r="C27" s="106"/>
      <c r="D27" s="159"/>
      <c r="E27" s="160"/>
      <c r="F27" s="73"/>
      <c r="G27" s="230"/>
      <c r="H27" s="147"/>
      <c r="I27" s="231"/>
      <c r="J27" s="147"/>
      <c r="K27" s="146"/>
      <c r="L27" s="147"/>
      <c r="M27" s="148"/>
      <c r="N27" s="73"/>
    </row>
    <row r="28" spans="1:14" ht="15.75" thickBot="1" x14ac:dyDescent="0.3">
      <c r="C28" s="174"/>
      <c r="D28" s="159"/>
      <c r="E28" s="160"/>
      <c r="F28" s="73"/>
      <c r="G28" s="230"/>
      <c r="H28" s="147"/>
      <c r="I28" s="231"/>
      <c r="J28" s="147"/>
      <c r="K28" s="146"/>
      <c r="L28" s="147"/>
      <c r="M28" s="148"/>
      <c r="N28" s="73"/>
    </row>
    <row r="29" spans="1:14" ht="15.75" thickBot="1" x14ac:dyDescent="0.3">
      <c r="A29">
        <v>6</v>
      </c>
      <c r="B29" s="3" t="s">
        <v>443</v>
      </c>
      <c r="C29" s="27" t="s">
        <v>390</v>
      </c>
      <c r="D29" s="3" t="s">
        <v>130</v>
      </c>
      <c r="E29" s="138">
        <f>Datasheet!$R$5</f>
        <v>0.14000000000000001</v>
      </c>
      <c r="F29" s="73"/>
      <c r="G29" s="130"/>
      <c r="H29" s="131"/>
      <c r="I29" s="132"/>
      <c r="J29" s="133"/>
      <c r="K29" s="149">
        <f>+I29-G29</f>
        <v>0</v>
      </c>
      <c r="L29" s="150"/>
      <c r="M29" s="151">
        <f>+K29*E29</f>
        <v>0</v>
      </c>
      <c r="N29" s="73"/>
    </row>
    <row r="30" spans="1:14" x14ac:dyDescent="0.25">
      <c r="C30" s="6"/>
      <c r="E30" s="185"/>
      <c r="G30" s="83"/>
      <c r="I30" s="83"/>
      <c r="K30" s="186"/>
      <c r="L30" s="139"/>
      <c r="M30" s="186"/>
    </row>
    <row r="31" spans="1:14" ht="15.75" thickBot="1" x14ac:dyDescent="0.3">
      <c r="C31" s="6"/>
      <c r="E31" s="185"/>
      <c r="G31" s="83"/>
      <c r="I31" s="83"/>
      <c r="K31" s="186"/>
      <c r="L31" s="139"/>
      <c r="M31" s="186"/>
    </row>
    <row r="32" spans="1:14" ht="15.75" thickBot="1" x14ac:dyDescent="0.3">
      <c r="C32" s="174"/>
      <c r="D32" s="159"/>
      <c r="E32" s="160"/>
      <c r="G32" s="83"/>
      <c r="I32" s="83"/>
      <c r="K32" s="71" t="s">
        <v>523</v>
      </c>
      <c r="L32" s="58"/>
      <c r="M32" s="152">
        <f>SUM(M16:M29)</f>
        <v>0</v>
      </c>
    </row>
    <row r="33" spans="2:13" x14ac:dyDescent="0.25"/>
    <row r="34" spans="2:13" ht="15.75" thickBot="1" x14ac:dyDescent="0.3">
      <c r="C34" s="6"/>
      <c r="E34" s="84"/>
      <c r="G34" s="83"/>
      <c r="I34" s="83"/>
      <c r="K34" s="108"/>
      <c r="M34" s="109"/>
    </row>
    <row r="35" spans="2:13" ht="19.5" thickBot="1" x14ac:dyDescent="0.35">
      <c r="B35" s="98" t="s">
        <v>520</v>
      </c>
      <c r="C35" s="69"/>
      <c r="D35" s="49"/>
      <c r="E35" s="84"/>
      <c r="G35" s="83"/>
      <c r="I35" s="83"/>
    </row>
    <row r="36" spans="2:13" ht="15.75" thickBot="1" x14ac:dyDescent="0.3">
      <c r="B36" s="70" t="s">
        <v>521</v>
      </c>
      <c r="C36" s="222">
        <f>-SUM(M8:M9)</f>
        <v>0</v>
      </c>
      <c r="D36" s="54" t="s">
        <v>382</v>
      </c>
      <c r="E36" s="84"/>
      <c r="G36" s="83"/>
      <c r="I36" s="83"/>
      <c r="K36" s="108"/>
      <c r="M36" s="109"/>
    </row>
    <row r="37" spans="2:13" ht="15.75" thickBot="1" x14ac:dyDescent="0.3">
      <c r="B37" s="70" t="str">
        <f>IF($C$37&gt;=0,Datasheet!$L$13,Datasheet!$L$12)</f>
        <v>Totale vastlegging CO2/jaar</v>
      </c>
      <c r="C37" s="289" t="str">
        <f>IFERROR(+C36-M32*ABS(SUM(M8:M9)/SUM(M8:M11)),"")</f>
        <v/>
      </c>
      <c r="D37" s="54" t="s">
        <v>382</v>
      </c>
      <c r="E37" s="286" t="str">
        <f>IF(AND(NOT($C$37=""),$C$37&gt;$C$36),"U kunt niet meer dan "&amp;$C$36&amp;" kg CO2 vastleggen","")</f>
        <v/>
      </c>
      <c r="G37" s="83"/>
      <c r="I37" s="83"/>
      <c r="K37" s="108"/>
      <c r="M37" s="109"/>
    </row>
    <row r="38" spans="2:13" ht="15.75" thickBot="1" x14ac:dyDescent="0.3">
      <c r="B38" s="50"/>
      <c r="C38" s="235">
        <f>IFERROR(+C37/1000,0)</f>
        <v>0</v>
      </c>
      <c r="D38" s="52" t="s">
        <v>420</v>
      </c>
      <c r="E38" s="84"/>
      <c r="G38" s="83"/>
      <c r="I38" s="83"/>
      <c r="K38" s="108"/>
      <c r="M38" s="109"/>
    </row>
    <row r="39" spans="2:13" ht="15.75" thickBot="1" x14ac:dyDescent="0.3">
      <c r="C39" s="6"/>
      <c r="E39" s="84"/>
      <c r="G39" s="107"/>
      <c r="I39" s="83"/>
    </row>
    <row r="40" spans="2:13" ht="19.5" thickBot="1" x14ac:dyDescent="0.35">
      <c r="B40" s="98" t="s">
        <v>524</v>
      </c>
      <c r="C40" s="69"/>
      <c r="D40" s="49"/>
      <c r="E40" s="63"/>
      <c r="G40" s="64"/>
      <c r="I40" s="64"/>
      <c r="K40" s="65"/>
      <c r="M40" s="72"/>
    </row>
    <row r="41" spans="2:13" ht="15.75" thickBot="1" x14ac:dyDescent="0.3">
      <c r="B41" s="70" t="s">
        <v>522</v>
      </c>
      <c r="C41" s="223">
        <f>-M11</f>
        <v>0</v>
      </c>
      <c r="D41" s="54" t="s">
        <v>382</v>
      </c>
      <c r="E41" s="63"/>
      <c r="I41" s="64"/>
      <c r="K41" s="65"/>
    </row>
    <row r="42" spans="2:13" ht="15.75" thickBot="1" x14ac:dyDescent="0.3">
      <c r="B42" s="70" t="str">
        <f>IF($C$42&gt;=0,Datasheet!$L$11,Datasheet!$L$12)</f>
        <v>Totale besparing CO2/jaar</v>
      </c>
      <c r="C42" s="153" t="str">
        <f>IFERROR(C41-M32*M11/(M11+M9+M8),"")</f>
        <v/>
      </c>
      <c r="D42" s="54" t="s">
        <v>382</v>
      </c>
      <c r="E42" s="287"/>
    </row>
    <row r="43" spans="2:13" ht="15.75" thickBot="1" x14ac:dyDescent="0.3">
      <c r="B43" s="50"/>
      <c r="C43" s="154">
        <f>IFERROR(+C42/1000,0)</f>
        <v>0</v>
      </c>
      <c r="D43" s="52" t="s">
        <v>420</v>
      </c>
      <c r="E43" s="63"/>
    </row>
    <row r="44" spans="2:13" ht="15.75" thickBot="1" x14ac:dyDescent="0.3">
      <c r="C44" s="6"/>
      <c r="E44" s="63"/>
    </row>
    <row r="45" spans="2:13" ht="30.75" thickBot="1" x14ac:dyDescent="0.3">
      <c r="B45" s="285" t="str">
        <f>IF($M$32&lt;=0,Datasheet!$L$33,Datasheet!$L$35)</f>
        <v>Totale CO2 besparing over de opgegeven periode van 0 jaar</v>
      </c>
      <c r="C45" s="182">
        <f>IF($C$3&gt;Datasheet!$H$4,+C43*Datasheet!$H$4,$C$43*$C$3)</f>
        <v>0</v>
      </c>
      <c r="D45" s="100" t="s">
        <v>420</v>
      </c>
    </row>
    <row r="46" spans="2:13" ht="15.75" thickBot="1" x14ac:dyDescent="0.3">
      <c r="B46" s="189" t="str">
        <f>IF($C$3&lt;=0,"Vul de levensduur in boven aan het blad!","")</f>
        <v>Vul de levensduur in boven aan het blad!</v>
      </c>
      <c r="C46" s="6"/>
    </row>
    <row r="47" spans="2:13" ht="15.75" thickBot="1" x14ac:dyDescent="0.3">
      <c r="B47" s="59" t="s">
        <v>421</v>
      </c>
      <c r="C47" s="111"/>
      <c r="D47" s="110" t="s">
        <v>422</v>
      </c>
    </row>
    <row r="48" spans="2:13" ht="30.75" thickBot="1" x14ac:dyDescent="0.3">
      <c r="B48" s="50" t="s">
        <v>437</v>
      </c>
      <c r="C48" s="155">
        <f>IFERROR(+C47/C45,0)</f>
        <v>0</v>
      </c>
      <c r="D48" s="112" t="s">
        <v>423</v>
      </c>
    </row>
    <row r="49" spans="2:3" x14ac:dyDescent="0.25">
      <c r="B49" s="156"/>
    </row>
    <row r="50" spans="2:3" ht="15.75" thickBot="1" x14ac:dyDescent="0.3"/>
    <row r="51" spans="2:3" x14ac:dyDescent="0.25">
      <c r="B51" s="113" t="s">
        <v>397</v>
      </c>
      <c r="C51" s="6"/>
    </row>
    <row r="52" spans="2:3" ht="15.75" thickBot="1" x14ac:dyDescent="0.3">
      <c r="B52" s="114" t="str">
        <f>'Energie , overige thema''s'!B51</f>
        <v>Versie D 1.6 -  20 januari 2025</v>
      </c>
      <c r="C52" s="6"/>
    </row>
    <row r="53" spans="2:3" x14ac:dyDescent="0.25">
      <c r="C53" s="6"/>
    </row>
    <row r="54" spans="2:3" x14ac:dyDescent="0.25">
      <c r="C54" s="6"/>
    </row>
  </sheetData>
  <sheetProtection algorithmName="SHA-512" hashValue="yyMquDgNA+3+0IUrDldlYszjhs3kZy7LECmeoBfVsKeR7sfX/oEvUvHlLOE1zQMqEyM26LAcHvSADZ68PouWRQ==" saltValue="ONIDX8Ts4rOt8oiG2C2/NQ==" spinCount="100000" sheet="1" objects="1" scenarios="1"/>
  <conditionalFormatting sqref="C37">
    <cfRule type="cellIs" dxfId="63" priority="3" operator="equal">
      <formula>""</formula>
    </cfRule>
  </conditionalFormatting>
  <conditionalFormatting sqref="C37:C38">
    <cfRule type="cellIs" dxfId="62" priority="8" operator="lessThan">
      <formula>0</formula>
    </cfRule>
    <cfRule type="cellIs" dxfId="61" priority="9" operator="greaterThan">
      <formula>0</formula>
    </cfRule>
  </conditionalFormatting>
  <conditionalFormatting sqref="C42">
    <cfRule type="cellIs" dxfId="60" priority="1" operator="equal">
      <formula>""</formula>
    </cfRule>
  </conditionalFormatting>
  <conditionalFormatting sqref="C42:C43">
    <cfRule type="cellIs" dxfId="59" priority="18" operator="lessThan">
      <formula>0</formula>
    </cfRule>
    <cfRule type="cellIs" dxfId="58" priority="19" operator="greaterThan">
      <formula>0</formula>
    </cfRule>
  </conditionalFormatting>
  <conditionalFormatting sqref="C45">
    <cfRule type="cellIs" dxfId="57" priority="30" operator="lessThan">
      <formula>0</formula>
    </cfRule>
    <cfRule type="cellIs" dxfId="56" priority="31" operator="greaterThan">
      <formula>0</formula>
    </cfRule>
  </conditionalFormatting>
  <conditionalFormatting sqref="M8:M9">
    <cfRule type="cellIs" dxfId="55" priority="12" operator="greaterThan">
      <formula>0</formula>
    </cfRule>
    <cfRule type="cellIs" dxfId="54" priority="13" operator="lessThan">
      <formula>0</formula>
    </cfRule>
  </conditionalFormatting>
  <conditionalFormatting sqref="M11:M12">
    <cfRule type="cellIs" dxfId="53" priority="10" operator="greaterThan">
      <formula>0</formula>
    </cfRule>
    <cfRule type="cellIs" dxfId="52" priority="11" operator="lessThan">
      <formula>0</formula>
    </cfRule>
  </conditionalFormatting>
  <conditionalFormatting sqref="M16:M18">
    <cfRule type="cellIs" dxfId="51" priority="28" operator="greaterThan">
      <formula>0</formula>
    </cfRule>
    <cfRule type="cellIs" dxfId="50" priority="29" operator="lessThan">
      <formula>0</formula>
    </cfRule>
  </conditionalFormatting>
  <conditionalFormatting sqref="M20">
    <cfRule type="cellIs" dxfId="49" priority="26" operator="greaterThan">
      <formula>0</formula>
    </cfRule>
    <cfRule type="cellIs" dxfId="48" priority="27" operator="lessThan">
      <formula>0</formula>
    </cfRule>
  </conditionalFormatting>
  <conditionalFormatting sqref="M22">
    <cfRule type="cellIs" dxfId="47" priority="24" operator="greaterThan">
      <formula>0</formula>
    </cfRule>
    <cfRule type="cellIs" dxfId="46" priority="25" operator="lessThan">
      <formula>0</formula>
    </cfRule>
  </conditionalFormatting>
  <conditionalFormatting sqref="M24">
    <cfRule type="cellIs" dxfId="45" priority="22" operator="greaterThan">
      <formula>0</formula>
    </cfRule>
    <cfRule type="cellIs" dxfId="44" priority="23" operator="lessThan">
      <formula>0</formula>
    </cfRule>
  </conditionalFormatting>
  <conditionalFormatting sqref="M26:M32">
    <cfRule type="cellIs" dxfId="43" priority="20" operator="greaterThan">
      <formula>0</formula>
    </cfRule>
    <cfRule type="cellIs" dxfId="42" priority="21" operator="lessThan">
      <formula>0</formula>
    </cfRule>
  </conditionalFormatting>
  <pageMargins left="0.7" right="0.7" top="0.75" bottom="0.75" header="0.3" footer="0.3"/>
  <pageSetup paperSize="9" scale="5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81564047-9FDE-4CCF-B74F-C493E1A59DC5}">
          <x14:formula1>
            <xm:f>Datasheet!$G$37:$G$41</xm:f>
          </x14:formula1>
          <xm:sqref>C20</xm:sqref>
        </x14:dataValidation>
        <x14:dataValidation type="list" allowBlank="1" showInputMessage="1" showErrorMessage="1" xr:uid="{BAD4546B-0FD9-4E2B-A91B-3E0E49B50251}">
          <x14:formula1>
            <xm:f>Datasheet!$A$7:$A$36</xm:f>
          </x14:formula1>
          <xm:sqref>C22 C24</xm:sqref>
        </x14:dataValidation>
        <x14:dataValidation type="list" allowBlank="1" showInputMessage="1" showErrorMessage="1" xr:uid="{CDB85449-E341-4646-95C7-13F992BA3DE5}">
          <x14:formula1>
            <xm:f>Datasheet!$G$14:$G$27</xm:f>
          </x14:formula1>
          <xm:sqref>C16:C18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1238-E106-410F-BBDB-1BD21E8637BB}">
  <sheetPr>
    <tabColor rgb="FF00B050"/>
  </sheetPr>
  <dimension ref="A1:P55"/>
  <sheetViews>
    <sheetView showGridLines="0" zoomScale="115" zoomScaleNormal="115" workbookViewId="0">
      <selection activeCell="E45" sqref="A45:XFD1048576"/>
    </sheetView>
  </sheetViews>
  <sheetFormatPr defaultColWidth="0" defaultRowHeight="15" zeroHeight="1" x14ac:dyDescent="0.25"/>
  <cols>
    <col min="1" max="1" width="2.42578125" customWidth="1"/>
    <col min="2" max="2" width="37" customWidth="1"/>
    <col min="3" max="3" width="35.85546875" customWidth="1"/>
    <col min="4" max="4" width="8.28515625" customWidth="1"/>
    <col min="5" max="5" width="14.85546875" customWidth="1"/>
    <col min="6" max="6" width="0.7109375" customWidth="1"/>
    <col min="7" max="7" width="18.28515625" customWidth="1"/>
    <col min="8" max="8" width="0.7109375" customWidth="1"/>
    <col min="9" max="9" width="15.5703125" customWidth="1"/>
    <col min="10" max="10" width="0.7109375" customWidth="1"/>
    <col min="11" max="11" width="15.5703125" customWidth="1"/>
    <col min="12" max="12" width="0.7109375" customWidth="1"/>
    <col min="13" max="13" width="15.5703125" customWidth="1"/>
    <col min="14" max="14" width="0.7109375" customWidth="1"/>
    <col min="15" max="15" width="19.7109375" customWidth="1"/>
    <col min="16" max="16" width="9.140625" customWidth="1"/>
    <col min="17" max="16384" width="9.140625" hidden="1"/>
  </cols>
  <sheetData>
    <row r="1" spans="1:14" ht="15" customHeight="1" thickBot="1" x14ac:dyDescent="0.3">
      <c r="G1" s="80" t="s">
        <v>402</v>
      </c>
    </row>
    <row r="2" spans="1:14" ht="20.25" customHeight="1" thickBot="1" x14ac:dyDescent="0.4">
      <c r="B2" s="82" t="s">
        <v>396</v>
      </c>
      <c r="C2" s="82" t="s">
        <v>525</v>
      </c>
      <c r="G2" s="79" t="s">
        <v>399</v>
      </c>
    </row>
    <row r="3" spans="1:14" ht="28.9" customHeight="1" thickBot="1" x14ac:dyDescent="0.3">
      <c r="B3" s="103" t="s">
        <v>444</v>
      </c>
      <c r="C3" s="106"/>
      <c r="G3" s="81" t="s">
        <v>400</v>
      </c>
    </row>
    <row r="4" spans="1:14" ht="28.9" customHeight="1" x14ac:dyDescent="0.25">
      <c r="B4" s="103"/>
      <c r="C4" s="284" t="str">
        <f>IF($C$3&gt;15,"Let op Maximaal 15 jaar!","")</f>
        <v/>
      </c>
      <c r="G4" s="216"/>
    </row>
    <row r="5" spans="1:14" ht="24" thickBot="1" x14ac:dyDescent="0.4">
      <c r="B5" s="181" t="s">
        <v>547</v>
      </c>
    </row>
    <row r="6" spans="1:14" ht="75.75" thickBot="1" x14ac:dyDescent="0.3">
      <c r="B6" s="293" t="s">
        <v>548</v>
      </c>
      <c r="F6" s="73"/>
      <c r="G6" s="76" t="s">
        <v>380</v>
      </c>
      <c r="H6" s="131"/>
      <c r="I6" s="77" t="s">
        <v>391</v>
      </c>
      <c r="J6" s="131"/>
      <c r="K6" s="77" t="s">
        <v>392</v>
      </c>
      <c r="L6" s="131"/>
      <c r="M6" s="78" t="s">
        <v>393</v>
      </c>
      <c r="N6" s="73"/>
    </row>
    <row r="7" spans="1:14" ht="15.75" thickBot="1" x14ac:dyDescent="0.3">
      <c r="C7" s="76" t="s">
        <v>388</v>
      </c>
      <c r="D7" s="77" t="s">
        <v>8</v>
      </c>
      <c r="E7" s="193" t="s">
        <v>467</v>
      </c>
      <c r="F7" s="73"/>
      <c r="G7" s="176" t="s">
        <v>395</v>
      </c>
      <c r="H7" s="177"/>
      <c r="I7" s="178" t="s">
        <v>395</v>
      </c>
      <c r="J7" s="177"/>
      <c r="K7" s="179" t="s">
        <v>403</v>
      </c>
      <c r="L7" s="177"/>
      <c r="M7" s="180" t="s">
        <v>404</v>
      </c>
      <c r="N7" s="73"/>
    </row>
    <row r="8" spans="1:14" ht="15.75" thickBot="1" x14ac:dyDescent="0.3">
      <c r="A8">
        <v>1</v>
      </c>
      <c r="B8" s="118" t="s">
        <v>381</v>
      </c>
      <c r="C8" s="119"/>
      <c r="D8" s="135" t="str">
        <f>IFERROR(VLOOKUP($C8,Datasheet!$G$14:$I$26,3)," ")</f>
        <v xml:space="preserve"> </v>
      </c>
      <c r="E8" s="138">
        <f>IFERROR(VLOOKUP($C8,Datasheet!$G$14:$I$26,2),0)</f>
        <v>0</v>
      </c>
      <c r="F8" s="73"/>
      <c r="G8" s="126"/>
      <c r="H8" s="73"/>
      <c r="I8" s="126"/>
      <c r="J8" s="124"/>
      <c r="K8" s="142">
        <f>+I8-G8</f>
        <v>0</v>
      </c>
      <c r="L8" s="143"/>
      <c r="M8" s="144">
        <f>+K8*E8</f>
        <v>0</v>
      </c>
      <c r="N8" s="73"/>
    </row>
    <row r="9" spans="1:14" ht="15.75" thickBot="1" x14ac:dyDescent="0.3">
      <c r="B9" s="58" t="s">
        <v>381</v>
      </c>
      <c r="C9" s="121"/>
      <c r="D9" s="137" t="str">
        <f>IFERROR(VLOOKUP($C9,Datasheet!$G$14:$I$26,3)," ")</f>
        <v xml:space="preserve"> </v>
      </c>
      <c r="E9" s="136">
        <f>IFERROR(VLOOKUP($C9,Datasheet!$G$14:$I$26,2),0)</f>
        <v>0</v>
      </c>
      <c r="F9" s="115"/>
      <c r="G9" s="128"/>
      <c r="H9" s="129"/>
      <c r="I9" s="128"/>
      <c r="J9" s="125"/>
      <c r="K9" s="142">
        <f t="shared" ref="K9:K14" si="0">+I9-G9</f>
        <v>0</v>
      </c>
      <c r="L9" s="145"/>
      <c r="M9" s="144">
        <f t="shared" ref="M9:M10" si="1">+K9*E9</f>
        <v>0</v>
      </c>
      <c r="N9" s="73"/>
    </row>
    <row r="10" spans="1:14" ht="15.75" thickBot="1" x14ac:dyDescent="0.3">
      <c r="B10" s="58" t="s">
        <v>381</v>
      </c>
      <c r="C10" s="120"/>
      <c r="D10" s="137" t="str">
        <f>IFERROR(VLOOKUP($C10,Datasheet!$G$14:$I$26,3)," ")</f>
        <v xml:space="preserve"> </v>
      </c>
      <c r="E10" s="138">
        <f>IFERROR(VLOOKUP($C10,Datasheet!$G$14:$I$26,2),0)</f>
        <v>0</v>
      </c>
      <c r="F10" s="115"/>
      <c r="G10" s="127"/>
      <c r="H10" s="129"/>
      <c r="I10" s="127"/>
      <c r="J10" s="125"/>
      <c r="K10" s="142">
        <f t="shared" si="0"/>
        <v>0</v>
      </c>
      <c r="L10" s="145"/>
      <c r="M10" s="144">
        <f t="shared" si="1"/>
        <v>0</v>
      </c>
      <c r="N10" s="73"/>
    </row>
    <row r="11" spans="1:14" ht="15.75" thickBot="1" x14ac:dyDescent="0.3">
      <c r="C11" s="6"/>
      <c r="D11" s="139"/>
      <c r="E11" s="140"/>
      <c r="F11" s="73"/>
      <c r="G11" s="232"/>
      <c r="H11" s="147"/>
      <c r="I11" s="233"/>
      <c r="J11" s="147"/>
      <c r="K11" s="146"/>
      <c r="L11" s="147"/>
      <c r="M11" s="148"/>
      <c r="N11" s="73"/>
    </row>
    <row r="12" spans="1:14" ht="15.75" thickBot="1" x14ac:dyDescent="0.3">
      <c r="A12">
        <v>2</v>
      </c>
      <c r="B12" s="58" t="s">
        <v>441</v>
      </c>
      <c r="C12" s="121"/>
      <c r="D12" s="141" t="str">
        <f>IFERROR(VLOOKUP($C12,Datasheet!$G$37:$J$41,2,)," ")</f>
        <v xml:space="preserve"> </v>
      </c>
      <c r="E12" s="138">
        <f>IFERROR(VLOOKUP($C12,Datasheet!$G$37:$J$41,3,),0)</f>
        <v>0</v>
      </c>
      <c r="F12" s="115"/>
      <c r="G12" s="130"/>
      <c r="H12" s="131"/>
      <c r="I12" s="132"/>
      <c r="J12" s="125"/>
      <c r="K12" s="142">
        <f t="shared" si="0"/>
        <v>0</v>
      </c>
      <c r="L12" s="145"/>
      <c r="M12" s="144">
        <f>+K12*E12</f>
        <v>0</v>
      </c>
      <c r="N12" s="73"/>
    </row>
    <row r="13" spans="1:14" ht="15.75" thickBot="1" x14ac:dyDescent="0.3">
      <c r="C13" s="6"/>
      <c r="D13" s="139"/>
      <c r="E13" s="140"/>
      <c r="F13" s="73"/>
      <c r="G13" s="232"/>
      <c r="H13" s="147"/>
      <c r="I13" s="233"/>
      <c r="J13" s="147"/>
      <c r="K13" s="146"/>
      <c r="L13" s="147"/>
      <c r="M13" s="148"/>
      <c r="N13" s="73"/>
    </row>
    <row r="14" spans="1:14" ht="15.75" thickBot="1" x14ac:dyDescent="0.3">
      <c r="A14">
        <v>3</v>
      </c>
      <c r="B14" s="58" t="s">
        <v>442</v>
      </c>
      <c r="C14" s="121"/>
      <c r="D14" s="137" t="str">
        <f>IFERROR(VLOOKUP($C14,Datasheet!$A$7:'Datasheet'!$E$36,2),"")</f>
        <v/>
      </c>
      <c r="E14" s="138">
        <f>IFERROR(VLOOKUP($C$14,Datasheet!$A$7:$E$31,4),0)</f>
        <v>0</v>
      </c>
      <c r="F14" s="73"/>
      <c r="G14" s="130"/>
      <c r="H14" s="131"/>
      <c r="I14" s="132"/>
      <c r="J14" s="125"/>
      <c r="K14" s="142">
        <f t="shared" si="0"/>
        <v>0</v>
      </c>
      <c r="L14" s="145"/>
      <c r="M14" s="144">
        <f>+K14*E14</f>
        <v>0</v>
      </c>
      <c r="N14" s="73"/>
    </row>
    <row r="15" spans="1:14" ht="15.75" thickBot="1" x14ac:dyDescent="0.3">
      <c r="C15" s="6"/>
      <c r="D15" s="139"/>
      <c r="E15" s="140"/>
      <c r="F15" s="73"/>
      <c r="G15" s="232"/>
      <c r="H15" s="147"/>
      <c r="I15" s="233"/>
      <c r="J15" s="147"/>
      <c r="K15" s="146"/>
      <c r="L15" s="147"/>
      <c r="M15" s="148"/>
      <c r="N15" s="73"/>
    </row>
    <row r="16" spans="1:14" ht="15.75" thickBot="1" x14ac:dyDescent="0.3">
      <c r="A16">
        <v>4</v>
      </c>
      <c r="B16" s="58" t="s">
        <v>442</v>
      </c>
      <c r="C16" s="121"/>
      <c r="D16" s="137" t="str">
        <f>IFERROR(VLOOKUP($C$16,Datasheet!$A$7:$E$36,2),"")</f>
        <v/>
      </c>
      <c r="E16" s="138">
        <f>IFERROR(VLOOKUP($C$16,Datasheet!$A$7:$E$31,4),0)</f>
        <v>0</v>
      </c>
      <c r="F16" s="73"/>
      <c r="G16" s="130"/>
      <c r="H16" s="131"/>
      <c r="I16" s="132"/>
      <c r="J16" s="125"/>
      <c r="K16" s="142">
        <f>+I16-G16</f>
        <v>0</v>
      </c>
      <c r="L16" s="145"/>
      <c r="M16" s="144">
        <f>+K16*E16</f>
        <v>0</v>
      </c>
      <c r="N16" s="73"/>
    </row>
    <row r="17" spans="1:15" ht="15.75" thickBot="1" x14ac:dyDescent="0.3">
      <c r="C17" s="6"/>
      <c r="E17" s="63"/>
      <c r="F17" s="73"/>
      <c r="G17" s="232"/>
      <c r="H17" s="147"/>
      <c r="I17" s="233"/>
      <c r="J17" s="147"/>
      <c r="K17" s="146"/>
      <c r="L17" s="147"/>
      <c r="M17" s="148"/>
      <c r="N17" s="73"/>
    </row>
    <row r="18" spans="1:15" ht="15.75" thickBot="1" x14ac:dyDescent="0.3">
      <c r="A18">
        <v>5</v>
      </c>
      <c r="B18" s="58" t="s">
        <v>602</v>
      </c>
      <c r="C18" s="162"/>
      <c r="D18" s="122"/>
      <c r="E18" s="123"/>
      <c r="F18" s="73"/>
      <c r="G18" s="130"/>
      <c r="H18" s="131"/>
      <c r="I18" s="132"/>
      <c r="J18" s="125"/>
      <c r="K18" s="142">
        <f>+I18-G18</f>
        <v>0</v>
      </c>
      <c r="L18" s="145"/>
      <c r="M18" s="144">
        <f t="shared" ref="M18" si="2">IFERROR(+K18*E18,"Getal in kolom E")</f>
        <v>0</v>
      </c>
      <c r="N18" s="73"/>
    </row>
    <row r="19" spans="1:15" x14ac:dyDescent="0.25">
      <c r="B19" s="58" t="s">
        <v>415</v>
      </c>
      <c r="C19" s="190"/>
      <c r="D19" s="159"/>
      <c r="E19" s="160"/>
      <c r="F19" s="73"/>
      <c r="G19" s="230"/>
      <c r="H19" s="147"/>
      <c r="I19" s="231"/>
      <c r="J19" s="147"/>
      <c r="K19" s="146"/>
      <c r="L19" s="147"/>
      <c r="M19" s="148"/>
      <c r="N19" s="73"/>
    </row>
    <row r="20" spans="1:15" ht="15.75" thickBot="1" x14ac:dyDescent="0.3">
      <c r="C20" s="174"/>
      <c r="D20" s="159"/>
      <c r="E20" s="160"/>
      <c r="F20" s="73"/>
      <c r="G20" s="230"/>
      <c r="H20" s="147"/>
      <c r="I20" s="231"/>
      <c r="J20" s="147"/>
      <c r="K20" s="146"/>
      <c r="L20" s="147"/>
      <c r="M20" s="148"/>
      <c r="N20" s="73"/>
    </row>
    <row r="21" spans="1:15" ht="15.75" thickBot="1" x14ac:dyDescent="0.3">
      <c r="A21">
        <v>6</v>
      </c>
      <c r="B21" s="3" t="s">
        <v>443</v>
      </c>
      <c r="C21" s="27" t="s">
        <v>390</v>
      </c>
      <c r="D21" s="236" t="s">
        <v>130</v>
      </c>
      <c r="E21" s="138">
        <f>Datasheet!$R$5</f>
        <v>0.14000000000000001</v>
      </c>
      <c r="F21" s="73"/>
      <c r="G21" s="130"/>
      <c r="H21" s="131"/>
      <c r="I21" s="132"/>
      <c r="J21" s="133"/>
      <c r="K21" s="149">
        <f>+I21-G21</f>
        <v>0</v>
      </c>
      <c r="L21" s="150"/>
      <c r="M21" s="151">
        <f>+K21*E21</f>
        <v>0</v>
      </c>
      <c r="N21" s="73"/>
    </row>
    <row r="22" spans="1:15" ht="15.75" thickBot="1" x14ac:dyDescent="0.3">
      <c r="C22" s="6"/>
      <c r="E22" s="185"/>
      <c r="G22" s="83"/>
      <c r="I22" s="83"/>
      <c r="K22" s="186"/>
      <c r="L22" s="139"/>
      <c r="M22" s="186"/>
    </row>
    <row r="23" spans="1:15" ht="15.75" thickBot="1" x14ac:dyDescent="0.3">
      <c r="C23" s="6"/>
      <c r="E23" s="185"/>
      <c r="G23" s="83"/>
      <c r="I23" s="71" t="s">
        <v>585</v>
      </c>
      <c r="J23" s="3"/>
      <c r="K23" s="3"/>
      <c r="L23" s="58"/>
      <c r="M23" s="152">
        <f>SUM(M8:M21)</f>
        <v>0</v>
      </c>
    </row>
    <row r="24" spans="1:15" ht="24" thickBot="1" x14ac:dyDescent="0.4">
      <c r="B24" s="181" t="s">
        <v>526</v>
      </c>
      <c r="C24" s="6"/>
      <c r="E24" s="185"/>
      <c r="G24" s="83"/>
      <c r="I24" s="83"/>
      <c r="K24" s="186"/>
      <c r="L24" s="139"/>
      <c r="M24" s="186"/>
    </row>
    <row r="25" spans="1:15" ht="84" customHeight="1" thickBot="1" x14ac:dyDescent="0.3">
      <c r="B25" s="293" t="s">
        <v>549</v>
      </c>
      <c r="C25" s="174"/>
      <c r="D25" s="159"/>
      <c r="E25" s="160"/>
      <c r="F25" s="73"/>
      <c r="G25" s="76" t="s">
        <v>380</v>
      </c>
      <c r="H25" s="131"/>
      <c r="I25" s="77" t="s">
        <v>391</v>
      </c>
      <c r="J25" s="131"/>
      <c r="K25" s="199" t="s">
        <v>392</v>
      </c>
      <c r="L25" s="131"/>
      <c r="M25" s="193" t="s">
        <v>393</v>
      </c>
      <c r="N25" s="73"/>
      <c r="O25" s="206"/>
    </row>
    <row r="26" spans="1:15" ht="52.5" customHeight="1" thickBot="1" x14ac:dyDescent="0.3">
      <c r="C26" s="207" t="s">
        <v>528</v>
      </c>
      <c r="D26" s="199" t="s">
        <v>8</v>
      </c>
      <c r="E26" s="208" t="s">
        <v>529</v>
      </c>
      <c r="F26" s="73"/>
      <c r="G26" s="209" t="s">
        <v>395</v>
      </c>
      <c r="H26" s="275"/>
      <c r="I26" s="179" t="s">
        <v>496</v>
      </c>
      <c r="J26" s="192"/>
      <c r="K26" s="3" t="s">
        <v>403</v>
      </c>
      <c r="L26" s="195"/>
      <c r="M26" s="194" t="s">
        <v>404</v>
      </c>
      <c r="N26" s="73"/>
      <c r="O26" s="210" t="s">
        <v>497</v>
      </c>
    </row>
    <row r="27" spans="1:15" ht="15.75" thickBot="1" x14ac:dyDescent="0.3">
      <c r="B27" s="3" t="s">
        <v>501</v>
      </c>
      <c r="C27" s="190"/>
      <c r="D27" s="138" t="s">
        <v>498</v>
      </c>
      <c r="E27" s="239"/>
      <c r="F27" s="73"/>
      <c r="G27" s="130"/>
      <c r="H27" s="276"/>
      <c r="I27" s="132"/>
      <c r="J27" s="73"/>
      <c r="K27" s="142">
        <f t="shared" ref="K27:K36" si="3">+I27-G27</f>
        <v>0</v>
      </c>
      <c r="L27" s="147"/>
      <c r="M27" s="144">
        <f t="shared" ref="M27:M36" si="4">IFERROR(+K27*E27,"Getal in kolom E")</f>
        <v>0</v>
      </c>
      <c r="N27" s="73"/>
      <c r="O27" s="240"/>
    </row>
    <row r="28" spans="1:15" ht="15.75" thickBot="1" x14ac:dyDescent="0.3">
      <c r="B28" s="3" t="s">
        <v>501</v>
      </c>
      <c r="C28" s="190"/>
      <c r="D28" s="138" t="s">
        <v>498</v>
      </c>
      <c r="E28" s="239"/>
      <c r="F28" s="73"/>
      <c r="G28" s="130"/>
      <c r="H28" s="276"/>
      <c r="I28" s="132"/>
      <c r="J28" s="73"/>
      <c r="K28" s="142">
        <f t="shared" si="3"/>
        <v>0</v>
      </c>
      <c r="L28" s="147"/>
      <c r="M28" s="144">
        <f t="shared" si="4"/>
        <v>0</v>
      </c>
      <c r="N28" s="73"/>
      <c r="O28" s="240"/>
    </row>
    <row r="29" spans="1:15" ht="15.75" thickBot="1" x14ac:dyDescent="0.3">
      <c r="B29" s="3" t="s">
        <v>501</v>
      </c>
      <c r="C29" s="190"/>
      <c r="D29" s="138" t="s">
        <v>498</v>
      </c>
      <c r="E29" s="239"/>
      <c r="F29" s="73"/>
      <c r="G29" s="130"/>
      <c r="H29" s="276"/>
      <c r="I29" s="132"/>
      <c r="J29" s="73"/>
      <c r="K29" s="142">
        <f t="shared" si="3"/>
        <v>0</v>
      </c>
      <c r="L29" s="147"/>
      <c r="M29" s="144">
        <f t="shared" si="4"/>
        <v>0</v>
      </c>
      <c r="N29" s="73"/>
      <c r="O29" s="240"/>
    </row>
    <row r="30" spans="1:15" ht="15.75" thickBot="1" x14ac:dyDescent="0.3">
      <c r="B30" s="3" t="s">
        <v>501</v>
      </c>
      <c r="C30" s="190"/>
      <c r="D30" s="138" t="s">
        <v>498</v>
      </c>
      <c r="E30" s="239"/>
      <c r="F30" s="73"/>
      <c r="G30" s="130"/>
      <c r="H30" s="276"/>
      <c r="I30" s="132"/>
      <c r="J30" s="73"/>
      <c r="K30" s="142">
        <f t="shared" si="3"/>
        <v>0</v>
      </c>
      <c r="L30" s="147"/>
      <c r="M30" s="144">
        <f t="shared" si="4"/>
        <v>0</v>
      </c>
      <c r="N30" s="73"/>
      <c r="O30" s="240"/>
    </row>
    <row r="31" spans="1:15" ht="15.75" thickBot="1" x14ac:dyDescent="0.3">
      <c r="B31" s="3" t="s">
        <v>501</v>
      </c>
      <c r="C31" s="190"/>
      <c r="D31" s="138" t="s">
        <v>498</v>
      </c>
      <c r="E31" s="239"/>
      <c r="F31" s="73"/>
      <c r="G31" s="130"/>
      <c r="H31" s="276"/>
      <c r="I31" s="132"/>
      <c r="J31" s="73"/>
      <c r="K31" s="142">
        <f t="shared" si="3"/>
        <v>0</v>
      </c>
      <c r="L31" s="147"/>
      <c r="M31" s="144">
        <f t="shared" si="4"/>
        <v>0</v>
      </c>
      <c r="N31" s="73"/>
      <c r="O31" s="240"/>
    </row>
    <row r="32" spans="1:15" ht="15.75" thickBot="1" x14ac:dyDescent="0.3">
      <c r="B32" s="3" t="s">
        <v>502</v>
      </c>
      <c r="C32" s="190"/>
      <c r="D32" s="138" t="s">
        <v>498</v>
      </c>
      <c r="E32" s="239"/>
      <c r="F32" s="73"/>
      <c r="G32" s="130"/>
      <c r="H32" s="276"/>
      <c r="I32" s="132"/>
      <c r="J32" s="73"/>
      <c r="K32" s="142">
        <f t="shared" si="3"/>
        <v>0</v>
      </c>
      <c r="L32" s="147"/>
      <c r="M32" s="144">
        <f t="shared" si="4"/>
        <v>0</v>
      </c>
      <c r="N32" s="73"/>
      <c r="O32" s="240"/>
    </row>
    <row r="33" spans="2:15" ht="15.75" thickBot="1" x14ac:dyDescent="0.3">
      <c r="B33" s="3" t="s">
        <v>502</v>
      </c>
      <c r="C33" s="190"/>
      <c r="D33" s="138" t="s">
        <v>498</v>
      </c>
      <c r="E33" s="239"/>
      <c r="F33" s="73"/>
      <c r="G33" s="130"/>
      <c r="H33" s="276"/>
      <c r="I33" s="132"/>
      <c r="J33" s="73"/>
      <c r="K33" s="142">
        <f t="shared" si="3"/>
        <v>0</v>
      </c>
      <c r="L33" s="147"/>
      <c r="M33" s="144">
        <f t="shared" si="4"/>
        <v>0</v>
      </c>
      <c r="N33" s="73"/>
      <c r="O33" s="240"/>
    </row>
    <row r="34" spans="2:15" ht="15.75" thickBot="1" x14ac:dyDescent="0.3">
      <c r="B34" s="3" t="s">
        <v>502</v>
      </c>
      <c r="C34" s="190"/>
      <c r="D34" s="138" t="s">
        <v>498</v>
      </c>
      <c r="E34" s="239"/>
      <c r="F34" s="73"/>
      <c r="G34" s="130"/>
      <c r="H34" s="276"/>
      <c r="I34" s="132"/>
      <c r="J34" s="73"/>
      <c r="K34" s="142">
        <f t="shared" si="3"/>
        <v>0</v>
      </c>
      <c r="L34" s="147"/>
      <c r="M34" s="144">
        <f t="shared" si="4"/>
        <v>0</v>
      </c>
      <c r="N34" s="73"/>
      <c r="O34" s="240"/>
    </row>
    <row r="35" spans="2:15" ht="15.75" thickBot="1" x14ac:dyDescent="0.3">
      <c r="B35" s="3" t="s">
        <v>502</v>
      </c>
      <c r="C35" s="190"/>
      <c r="D35" s="138" t="s">
        <v>498</v>
      </c>
      <c r="E35" s="239"/>
      <c r="F35" s="73"/>
      <c r="G35" s="283"/>
      <c r="H35" s="73"/>
      <c r="I35" s="283"/>
      <c r="J35" s="73"/>
      <c r="K35" s="142">
        <f t="shared" si="3"/>
        <v>0</v>
      </c>
      <c r="L35" s="147"/>
      <c r="M35" s="144">
        <f t="shared" si="4"/>
        <v>0</v>
      </c>
      <c r="N35" s="73"/>
      <c r="O35" s="240"/>
    </row>
    <row r="36" spans="2:15" ht="15.75" thickBot="1" x14ac:dyDescent="0.3">
      <c r="B36" s="3" t="s">
        <v>502</v>
      </c>
      <c r="C36" s="190"/>
      <c r="D36" s="138" t="s">
        <v>498</v>
      </c>
      <c r="E36" s="239"/>
      <c r="F36" s="73"/>
      <c r="G36" s="130"/>
      <c r="H36" s="276"/>
      <c r="I36" s="132"/>
      <c r="J36" s="73"/>
      <c r="K36" s="142">
        <f t="shared" si="3"/>
        <v>0</v>
      </c>
      <c r="L36" s="147"/>
      <c r="M36" s="144">
        <f t="shared" si="4"/>
        <v>0</v>
      </c>
      <c r="N36" s="73"/>
      <c r="O36" s="240"/>
    </row>
    <row r="37" spans="2:15" ht="15.75" thickBot="1" x14ac:dyDescent="0.3">
      <c r="C37" s="6"/>
      <c r="E37" s="185"/>
      <c r="G37" s="83"/>
      <c r="I37" s="83"/>
      <c r="K37" s="186"/>
      <c r="L37" s="139"/>
      <c r="M37" s="186"/>
    </row>
    <row r="38" spans="2:15" ht="15.75" thickBot="1" x14ac:dyDescent="0.3">
      <c r="C38" s="6"/>
      <c r="E38" s="185"/>
      <c r="G38" s="83"/>
      <c r="I38" s="71" t="s">
        <v>585</v>
      </c>
      <c r="J38" s="3"/>
      <c r="K38" s="3"/>
      <c r="L38" s="238"/>
      <c r="M38" s="152">
        <f>SUM($M$27:$M$36)</f>
        <v>0</v>
      </c>
    </row>
    <row r="39" spans="2:15" ht="15.75" thickBot="1" x14ac:dyDescent="0.3">
      <c r="C39" s="6"/>
      <c r="E39" s="185"/>
      <c r="G39" s="83"/>
      <c r="I39" s="83"/>
      <c r="K39" s="186"/>
      <c r="L39" s="139"/>
      <c r="M39" s="186"/>
    </row>
    <row r="40" spans="2:15" ht="15.75" thickBot="1" x14ac:dyDescent="0.3">
      <c r="C40" s="6"/>
      <c r="E40" s="84"/>
      <c r="G40" s="83"/>
      <c r="I40" s="83"/>
      <c r="K40" s="71" t="s">
        <v>523</v>
      </c>
      <c r="L40" s="3"/>
      <c r="M40" s="241">
        <f>SUM($M$27:$M$36)+SUM($M$8:$M$21)</f>
        <v>0</v>
      </c>
    </row>
    <row r="41" spans="2:15" x14ac:dyDescent="0.25">
      <c r="B41" s="68" t="s">
        <v>416</v>
      </c>
      <c r="C41" s="69"/>
      <c r="D41" s="49"/>
      <c r="E41" s="63"/>
      <c r="G41" s="64"/>
      <c r="I41" s="64"/>
      <c r="K41" s="65"/>
      <c r="M41" s="72"/>
    </row>
    <row r="42" spans="2:15" ht="15.75" thickBot="1" x14ac:dyDescent="0.3">
      <c r="B42" s="53"/>
      <c r="C42" s="6"/>
      <c r="D42" s="54"/>
      <c r="E42" s="63"/>
      <c r="I42" s="64"/>
      <c r="K42" s="65"/>
    </row>
    <row r="43" spans="2:15" ht="15.75" thickBot="1" x14ac:dyDescent="0.3">
      <c r="B43" s="70" t="str">
        <f>IF($M$40&lt;=0,Datasheet!$L$11,Datasheet!$L$12)</f>
        <v>Totale besparing CO2/jaar</v>
      </c>
      <c r="C43" s="153">
        <f>-M40</f>
        <v>0</v>
      </c>
      <c r="D43" s="54" t="s">
        <v>382</v>
      </c>
      <c r="E43" s="63"/>
    </row>
    <row r="44" spans="2:15" ht="15.75" thickBot="1" x14ac:dyDescent="0.3">
      <c r="B44" s="50"/>
      <c r="C44" s="154">
        <f>+C43/1000</f>
        <v>0</v>
      </c>
      <c r="D44" s="52" t="s">
        <v>420</v>
      </c>
      <c r="E44" s="63"/>
    </row>
    <row r="45" spans="2:15" ht="15.75" hidden="1" thickBot="1" x14ac:dyDescent="0.3">
      <c r="C45" s="6"/>
      <c r="E45" s="63"/>
    </row>
    <row r="46" spans="2:15" ht="30.75" hidden="1" thickBot="1" x14ac:dyDescent="0.3">
      <c r="B46" s="183" t="str">
        <f>IF($M$40&lt;=0,Datasheet!$L$39,Datasheet!$L$41)</f>
        <v>Totale CO2 besparing over de opgegeven periode van 0 jaar</v>
      </c>
      <c r="C46" s="182">
        <f>IF($C$3&gt;Datasheet!$H$4,+C44*Datasheet!$H$4,$C$44*$C$3)</f>
        <v>0</v>
      </c>
      <c r="D46" s="100" t="s">
        <v>420</v>
      </c>
    </row>
    <row r="47" spans="2:15" ht="15.75" hidden="1" thickBot="1" x14ac:dyDescent="0.3">
      <c r="B47" s="189" t="str">
        <f>IF($C$3&lt;=0,"Vul de levensduur in boven aan het blad!","")</f>
        <v>Vul de levensduur in boven aan het blad!</v>
      </c>
      <c r="C47" s="6"/>
    </row>
    <row r="48" spans="2:15" ht="15.75" hidden="1" thickBot="1" x14ac:dyDescent="0.3">
      <c r="B48" s="59" t="s">
        <v>421</v>
      </c>
      <c r="C48" s="111"/>
      <c r="D48" s="110" t="s">
        <v>422</v>
      </c>
    </row>
    <row r="49" spans="2:4" ht="30.75" hidden="1" thickBot="1" x14ac:dyDescent="0.3">
      <c r="B49" s="50" t="s">
        <v>437</v>
      </c>
      <c r="C49" s="155">
        <f>IFERROR(+C48/C46,0)</f>
        <v>0</v>
      </c>
      <c r="D49" s="112" t="s">
        <v>423</v>
      </c>
    </row>
    <row r="50" spans="2:4" hidden="1" x14ac:dyDescent="0.25">
      <c r="B50" s="156"/>
    </row>
    <row r="51" spans="2:4" ht="15.75" hidden="1" thickBot="1" x14ac:dyDescent="0.3"/>
    <row r="52" spans="2:4" hidden="1" x14ac:dyDescent="0.25">
      <c r="B52" s="113" t="s">
        <v>397</v>
      </c>
      <c r="C52" s="6"/>
    </row>
    <row r="53" spans="2:4" ht="15.75" hidden="1" thickBot="1" x14ac:dyDescent="0.3">
      <c r="B53" s="114" t="str">
        <f>'Energie , overige thema''s'!B51</f>
        <v>Versie D 1.6 -  20 januari 2025</v>
      </c>
      <c r="C53" s="6"/>
    </row>
    <row r="54" spans="2:4" hidden="1" x14ac:dyDescent="0.25">
      <c r="C54" s="6"/>
    </row>
    <row r="55" spans="2:4" hidden="1" x14ac:dyDescent="0.25">
      <c r="C55" s="6"/>
    </row>
  </sheetData>
  <sheetProtection algorithmName="SHA-512" hashValue="jYiB1zc8+zD1w5kLUfBqAQK06aqy/fS8JjQsM1ks3fHkhQKLkkABhxlQznUBFwZx/P6QDL/38JLXe876PSWQNw==" saltValue="mGLZgAKQqDp0RBvvQIK5gg==" spinCount="100000" sheet="1" objects="1" scenarios="1"/>
  <conditionalFormatting sqref="C43:C44">
    <cfRule type="cellIs" dxfId="41" priority="13" operator="lessThan">
      <formula>0</formula>
    </cfRule>
    <cfRule type="cellIs" dxfId="40" priority="14" operator="greaterThan">
      <formula>0</formula>
    </cfRule>
  </conditionalFormatting>
  <conditionalFormatting sqref="C46">
    <cfRule type="cellIs" dxfId="39" priority="25" operator="lessThan">
      <formula>0</formula>
    </cfRule>
    <cfRule type="cellIs" dxfId="38" priority="26" operator="greaterThan">
      <formula>0</formula>
    </cfRule>
  </conditionalFormatting>
  <conditionalFormatting sqref="M8:M10 M27:M40">
    <cfRule type="cellIs" dxfId="37" priority="23" operator="greaterThan">
      <formula>0</formula>
    </cfRule>
    <cfRule type="cellIs" dxfId="36" priority="24" operator="lessThan">
      <formula>0</formula>
    </cfRule>
  </conditionalFormatting>
  <conditionalFormatting sqref="M12">
    <cfRule type="cellIs" dxfId="35" priority="21" operator="greaterThan">
      <formula>0</formula>
    </cfRule>
    <cfRule type="cellIs" dxfId="34" priority="22" operator="lessThan">
      <formula>0</formula>
    </cfRule>
  </conditionalFormatting>
  <conditionalFormatting sqref="M14">
    <cfRule type="cellIs" dxfId="33" priority="19" operator="greaterThan">
      <formula>0</formula>
    </cfRule>
    <cfRule type="cellIs" dxfId="32" priority="20" operator="lessThan">
      <formula>0</formula>
    </cfRule>
  </conditionalFormatting>
  <conditionalFormatting sqref="M16">
    <cfRule type="cellIs" dxfId="31" priority="17" operator="greaterThan">
      <formula>0</formula>
    </cfRule>
    <cfRule type="cellIs" dxfId="30" priority="18" operator="lessThan">
      <formula>0</formula>
    </cfRule>
  </conditionalFormatting>
  <conditionalFormatting sqref="M18:M24">
    <cfRule type="cellIs" dxfId="29" priority="1" operator="greaterThan">
      <formula>0</formula>
    </cfRule>
    <cfRule type="cellIs" dxfId="28" priority="2" operator="lessThan">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79F50815-1974-4CB4-9352-02A87195CD67}">
          <x14:formula1>
            <xm:f>Datasheet!$G$37:$G$41</xm:f>
          </x14:formula1>
          <xm:sqref>C12</xm:sqref>
        </x14:dataValidation>
        <x14:dataValidation type="list" allowBlank="1" showInputMessage="1" showErrorMessage="1" xr:uid="{D7716DA8-6D19-4D9B-BBED-83DEBF43839E}">
          <x14:formula1>
            <xm:f>Datasheet!$A$7:$A$36</xm:f>
          </x14:formula1>
          <xm:sqref>C14 C16</xm:sqref>
        </x14:dataValidation>
        <x14:dataValidation type="list" allowBlank="1" showInputMessage="1" showErrorMessage="1" xr:uid="{E30394A4-09BB-4B7C-BC90-8F6309428FBF}">
          <x14:formula1>
            <xm:f>Datasheet!$G$14:$G$27</xm:f>
          </x14:formula1>
          <xm:sqref>C8:C10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3636E-C82B-42FF-9B23-AE6BE9DA9476}">
  <sheetPr>
    <tabColor rgb="FF00B050"/>
    <pageSetUpPr fitToPage="1"/>
  </sheetPr>
  <dimension ref="A1:Q114"/>
  <sheetViews>
    <sheetView showGridLines="0" zoomScale="115" zoomScaleNormal="115" workbookViewId="0">
      <selection activeCell="C6" sqref="C6"/>
    </sheetView>
  </sheetViews>
  <sheetFormatPr defaultColWidth="0" defaultRowHeight="15" zeroHeight="1" x14ac:dyDescent="0.25"/>
  <cols>
    <col min="1" max="1" width="2.42578125" customWidth="1"/>
    <col min="2" max="2" width="37" customWidth="1"/>
    <col min="3" max="3" width="47.140625" customWidth="1"/>
    <col min="4" max="4" width="8.28515625" customWidth="1"/>
    <col min="5" max="5" width="23" customWidth="1"/>
    <col min="6" max="6" width="0.7109375" customWidth="1"/>
    <col min="7" max="7" width="35.140625" customWidth="1"/>
    <col min="8" max="8" width="0.7109375" customWidth="1"/>
    <col min="9" max="9" width="49.85546875" customWidth="1"/>
    <col min="10" max="10" width="0.7109375" customWidth="1"/>
    <col min="11" max="11" width="15.5703125" customWidth="1"/>
    <col min="12" max="12" width="0.7109375" customWidth="1"/>
    <col min="13" max="13" width="15.5703125" customWidth="1"/>
    <col min="14" max="14" width="0.7109375" customWidth="1"/>
    <col min="15" max="15" width="37.5703125" customWidth="1"/>
    <col min="16" max="17" width="9.140625" customWidth="1"/>
    <col min="18" max="16384" width="9.140625" hidden="1"/>
  </cols>
  <sheetData>
    <row r="1" spans="1:14" ht="15" customHeight="1" thickBot="1" x14ac:dyDescent="0.3">
      <c r="G1" s="80" t="s">
        <v>402</v>
      </c>
    </row>
    <row r="2" spans="1:14" ht="20.25" customHeight="1" thickBot="1" x14ac:dyDescent="0.4">
      <c r="B2" s="82" t="s">
        <v>396</v>
      </c>
      <c r="C2" s="82" t="s">
        <v>490</v>
      </c>
      <c r="G2" s="79" t="s">
        <v>399</v>
      </c>
    </row>
    <row r="3" spans="1:14" ht="28.9" customHeight="1" thickBot="1" x14ac:dyDescent="0.3">
      <c r="B3" s="103" t="s">
        <v>444</v>
      </c>
      <c r="C3" s="106"/>
      <c r="G3" s="81" t="s">
        <v>400</v>
      </c>
    </row>
    <row r="4" spans="1:14" ht="15" customHeight="1" thickBot="1" x14ac:dyDescent="0.3">
      <c r="C4" s="284" t="str">
        <f>IF($C$3&gt;15,"Let op Maximaal 15 jaar!","")</f>
        <v/>
      </c>
    </row>
    <row r="5" spans="1:14" ht="61.5" customHeight="1" thickBot="1" x14ac:dyDescent="0.3">
      <c r="B5" s="1"/>
      <c r="C5" s="294" t="s">
        <v>605</v>
      </c>
      <c r="D5" s="268"/>
      <c r="E5" s="268" t="s">
        <v>478</v>
      </c>
      <c r="F5" s="188"/>
      <c r="G5" s="76" t="s">
        <v>479</v>
      </c>
      <c r="H5" s="257"/>
      <c r="I5" s="76" t="s">
        <v>480</v>
      </c>
    </row>
    <row r="6" spans="1:14" ht="58.5" customHeight="1" x14ac:dyDescent="0.25">
      <c r="C6" s="269" t="s">
        <v>481</v>
      </c>
      <c r="D6" s="268" t="s">
        <v>482</v>
      </c>
      <c r="E6" s="268" t="s">
        <v>483</v>
      </c>
      <c r="F6" s="188"/>
      <c r="G6" s="255"/>
      <c r="H6" s="188"/>
      <c r="I6" s="256"/>
    </row>
    <row r="7" spans="1:14" ht="56.25" customHeight="1" x14ac:dyDescent="0.25">
      <c r="C7" s="269" t="s">
        <v>484</v>
      </c>
      <c r="D7" s="268" t="s">
        <v>482</v>
      </c>
      <c r="E7" s="268" t="s">
        <v>485</v>
      </c>
      <c r="F7" s="188"/>
      <c r="G7" s="255"/>
      <c r="H7" s="188"/>
      <c r="I7" s="256"/>
    </row>
    <row r="8" spans="1:14" ht="60.75" customHeight="1" x14ac:dyDescent="0.25">
      <c r="C8" s="269" t="s">
        <v>486</v>
      </c>
      <c r="D8" s="268" t="s">
        <v>482</v>
      </c>
      <c r="E8" s="268" t="s">
        <v>487</v>
      </c>
      <c r="F8" s="188"/>
      <c r="G8" s="255"/>
      <c r="H8" s="188"/>
      <c r="I8" s="256"/>
    </row>
    <row r="9" spans="1:14" ht="42.75" customHeight="1" x14ac:dyDescent="0.25">
      <c r="C9" s="269" t="s">
        <v>488</v>
      </c>
      <c r="D9" s="268" t="s">
        <v>482</v>
      </c>
      <c r="E9" s="270" t="s">
        <v>489</v>
      </c>
      <c r="F9" s="188"/>
      <c r="G9" s="255"/>
      <c r="H9" s="188"/>
      <c r="I9" s="256"/>
    </row>
    <row r="10" spans="1:14" ht="15" customHeight="1" x14ac:dyDescent="0.25">
      <c r="C10" s="189"/>
    </row>
    <row r="11" spans="1:14" ht="28.9" customHeight="1" x14ac:dyDescent="0.35">
      <c r="B11" s="181" t="s">
        <v>491</v>
      </c>
      <c r="C11" s="200"/>
      <c r="D11" s="201"/>
      <c r="E11" s="201"/>
      <c r="F11" s="201"/>
      <c r="G11" s="202"/>
    </row>
    <row r="12" spans="1:14" ht="65.25" customHeight="1" thickBot="1" x14ac:dyDescent="0.3">
      <c r="B12" s="295" t="s">
        <v>591</v>
      </c>
      <c r="C12" s="204" t="str">
        <f>IF($C$3&gt;15,"Let op Maximaal 15 jaar!","")</f>
        <v/>
      </c>
    </row>
    <row r="13" spans="1:14" ht="24" thickBot="1" x14ac:dyDescent="0.4">
      <c r="B13" s="181"/>
      <c r="F13" s="73"/>
      <c r="G13" s="76" t="s">
        <v>380</v>
      </c>
      <c r="H13" s="131"/>
      <c r="I13" s="77" t="s">
        <v>391</v>
      </c>
      <c r="J13" s="131"/>
      <c r="K13" s="77" t="s">
        <v>392</v>
      </c>
      <c r="L13" s="131"/>
      <c r="M13" s="78" t="s">
        <v>393</v>
      </c>
      <c r="N13" s="73"/>
    </row>
    <row r="14" spans="1:14" ht="15.75" thickBot="1" x14ac:dyDescent="0.3">
      <c r="C14" s="76"/>
      <c r="D14" s="77" t="s">
        <v>8</v>
      </c>
      <c r="E14" s="193" t="s">
        <v>467</v>
      </c>
      <c r="F14" s="73"/>
      <c r="G14" s="176" t="s">
        <v>395</v>
      </c>
      <c r="H14" s="177"/>
      <c r="I14" s="178" t="s">
        <v>395</v>
      </c>
      <c r="J14" s="177"/>
      <c r="K14" s="179" t="s">
        <v>403</v>
      </c>
      <c r="L14" s="177"/>
      <c r="M14" s="180" t="s">
        <v>404</v>
      </c>
      <c r="N14" s="73"/>
    </row>
    <row r="15" spans="1:14" ht="15.75" thickBot="1" x14ac:dyDescent="0.3">
      <c r="A15">
        <v>1</v>
      </c>
      <c r="B15" s="118" t="s">
        <v>381</v>
      </c>
      <c r="C15" s="119"/>
      <c r="D15" s="135" t="str">
        <f>IFERROR(VLOOKUP($C15,Datasheet!$G$14:$I$26,3)," ")</f>
        <v xml:space="preserve"> </v>
      </c>
      <c r="E15" s="138">
        <f>IFERROR(VLOOKUP($C15,Datasheet!$G$14:$I$26,2),0)</f>
        <v>0</v>
      </c>
      <c r="F15" s="73"/>
      <c r="G15" s="126"/>
      <c r="H15" s="73"/>
      <c r="I15" s="132"/>
      <c r="J15" s="124"/>
      <c r="K15" s="142">
        <f>+I15-G15</f>
        <v>0</v>
      </c>
      <c r="L15" s="143"/>
      <c r="M15" s="144">
        <f>+K15*E15</f>
        <v>0</v>
      </c>
      <c r="N15" s="73"/>
    </row>
    <row r="16" spans="1:14" ht="15.75" thickBot="1" x14ac:dyDescent="0.3">
      <c r="B16" s="58" t="s">
        <v>381</v>
      </c>
      <c r="C16" s="121"/>
      <c r="D16" s="137" t="str">
        <f>IFERROR(VLOOKUP($C16,Datasheet!$G$14:$I$26,3)," ")</f>
        <v xml:space="preserve"> </v>
      </c>
      <c r="E16" s="136">
        <f>IFERROR(VLOOKUP($C16,Datasheet!$G$14:$I$26,2),0)</f>
        <v>0</v>
      </c>
      <c r="F16" s="115"/>
      <c r="G16" s="128"/>
      <c r="H16" s="129"/>
      <c r="I16" s="132"/>
      <c r="J16" s="125"/>
      <c r="K16" s="142">
        <f t="shared" ref="K16:K17" si="0">+I16-G16</f>
        <v>0</v>
      </c>
      <c r="L16" s="145"/>
      <c r="M16" s="144">
        <f t="shared" ref="M16:M17" si="1">+K16*E16</f>
        <v>0</v>
      </c>
      <c r="N16" s="73"/>
    </row>
    <row r="17" spans="1:15" ht="15.75" thickBot="1" x14ac:dyDescent="0.3">
      <c r="B17" s="58" t="s">
        <v>381</v>
      </c>
      <c r="C17" s="120"/>
      <c r="D17" s="137" t="str">
        <f>IFERROR(VLOOKUP($C17,Datasheet!$G$14:$I$26,3)," ")</f>
        <v xml:space="preserve"> </v>
      </c>
      <c r="E17" s="138">
        <f>IFERROR(VLOOKUP($C17,Datasheet!$G$14:$I$26,2),0)</f>
        <v>0</v>
      </c>
      <c r="F17" s="115"/>
      <c r="G17" s="127"/>
      <c r="H17" s="129"/>
      <c r="I17" s="132"/>
      <c r="J17" s="125"/>
      <c r="K17" s="142">
        <f t="shared" si="0"/>
        <v>0</v>
      </c>
      <c r="L17" s="145"/>
      <c r="M17" s="144">
        <f t="shared" si="1"/>
        <v>0</v>
      </c>
      <c r="N17" s="73"/>
    </row>
    <row r="18" spans="1:15" ht="15.75" thickBot="1" x14ac:dyDescent="0.3">
      <c r="C18" s="6"/>
      <c r="D18" s="139"/>
      <c r="E18" s="140"/>
      <c r="F18" s="73"/>
      <c r="G18" s="116"/>
      <c r="H18" s="73"/>
      <c r="I18" s="117"/>
      <c r="J18" s="73"/>
      <c r="K18" s="146"/>
      <c r="L18" s="147"/>
      <c r="M18" s="148"/>
      <c r="N18" s="73"/>
    </row>
    <row r="19" spans="1:15" ht="15.75" thickBot="1" x14ac:dyDescent="0.3">
      <c r="A19">
        <v>2</v>
      </c>
      <c r="B19" s="58" t="s">
        <v>441</v>
      </c>
      <c r="C19" s="121"/>
      <c r="D19" s="141" t="str">
        <f>IFERROR(VLOOKUP($C19,Datasheet!$G$37:$J$41,2,)," ")</f>
        <v xml:space="preserve"> </v>
      </c>
      <c r="E19" s="138">
        <f>IFERROR(VLOOKUP($C19,Datasheet!$G$37:$J$41,3,),0)</f>
        <v>0</v>
      </c>
      <c r="F19" s="115"/>
      <c r="G19" s="128"/>
      <c r="H19" s="271"/>
      <c r="I19" s="132"/>
      <c r="J19" s="125"/>
      <c r="K19" s="142">
        <f>+I19-G19</f>
        <v>0</v>
      </c>
      <c r="L19" s="145"/>
      <c r="M19" s="144">
        <f>+K19*E19</f>
        <v>0</v>
      </c>
      <c r="N19" s="73"/>
    </row>
    <row r="20" spans="1:15" ht="15.75" thickBot="1" x14ac:dyDescent="0.3">
      <c r="C20" s="6"/>
      <c r="D20" s="139"/>
      <c r="E20" s="140"/>
      <c r="F20" s="73"/>
      <c r="G20" s="116"/>
      <c r="H20" s="73"/>
      <c r="I20" s="117"/>
      <c r="J20" s="73"/>
      <c r="K20" s="146"/>
      <c r="L20" s="147"/>
      <c r="M20" s="148"/>
      <c r="N20" s="73"/>
    </row>
    <row r="21" spans="1:15" ht="15.75" thickBot="1" x14ac:dyDescent="0.3">
      <c r="A21">
        <v>3</v>
      </c>
      <c r="B21" s="58" t="s">
        <v>442</v>
      </c>
      <c r="C21" s="121"/>
      <c r="D21" s="137" t="str">
        <f>IFERROR(VLOOKUP($C21,Datasheet!$A$7:'Datasheet'!$E$36,2),"")</f>
        <v/>
      </c>
      <c r="E21" s="138">
        <f>IFERROR(VLOOKUP($C$21,Datasheet!$A$7:$E$31,4),0)</f>
        <v>0</v>
      </c>
      <c r="F21" s="73"/>
      <c r="G21" s="128"/>
      <c r="H21" s="131"/>
      <c r="I21" s="132"/>
      <c r="J21" s="125"/>
      <c r="K21" s="142">
        <f>+I21-G21</f>
        <v>0</v>
      </c>
      <c r="L21" s="145"/>
      <c r="M21" s="144">
        <f>+K21*E21</f>
        <v>0</v>
      </c>
      <c r="N21" s="73"/>
    </row>
    <row r="22" spans="1:15" ht="15.75" thickBot="1" x14ac:dyDescent="0.3">
      <c r="C22" s="6"/>
      <c r="D22" s="139"/>
      <c r="E22" s="140"/>
      <c r="F22" s="73"/>
      <c r="G22" s="116"/>
      <c r="H22" s="73"/>
      <c r="I22" s="117"/>
      <c r="J22" s="73"/>
      <c r="K22" s="146"/>
      <c r="L22" s="147"/>
      <c r="M22" s="148"/>
      <c r="N22" s="73"/>
    </row>
    <row r="23" spans="1:15" ht="15.75" thickBot="1" x14ac:dyDescent="0.3">
      <c r="A23">
        <v>4</v>
      </c>
      <c r="B23" s="58" t="s">
        <v>442</v>
      </c>
      <c r="C23" s="121"/>
      <c r="D23" s="137" t="str">
        <f>IFERROR(VLOOKUP($C$23,Datasheet!$A$7:$E$36,2),"")</f>
        <v/>
      </c>
      <c r="E23" s="138">
        <f>IFERROR(VLOOKUP($C$23,Datasheet!$A$7:$E$31,4),0)</f>
        <v>0</v>
      </c>
      <c r="F23" s="73"/>
      <c r="G23" s="128"/>
      <c r="H23" s="271"/>
      <c r="I23" s="132"/>
      <c r="J23" s="125"/>
      <c r="K23" s="142">
        <f>+I23-G23</f>
        <v>0</v>
      </c>
      <c r="L23" s="145"/>
      <c r="M23" s="144">
        <f>+K23*E23</f>
        <v>0</v>
      </c>
      <c r="N23" s="73"/>
    </row>
    <row r="24" spans="1:15" ht="15.75" thickBot="1" x14ac:dyDescent="0.3">
      <c r="C24" s="6"/>
      <c r="E24" s="63"/>
      <c r="F24" s="73"/>
      <c r="G24" s="116"/>
      <c r="H24" s="73"/>
      <c r="I24" s="117"/>
      <c r="J24" s="73"/>
      <c r="K24" s="146"/>
      <c r="L24" s="147"/>
      <c r="M24" s="148"/>
      <c r="N24" s="73"/>
    </row>
    <row r="25" spans="1:15" ht="15.75" thickBot="1" x14ac:dyDescent="0.3">
      <c r="A25">
        <v>5</v>
      </c>
      <c r="B25" s="58" t="s">
        <v>436</v>
      </c>
      <c r="C25" s="272"/>
      <c r="D25" s="273"/>
      <c r="E25" s="274"/>
      <c r="F25" s="73"/>
      <c r="G25" s="128">
        <v>0</v>
      </c>
      <c r="H25" s="131"/>
      <c r="I25" s="132"/>
      <c r="J25" s="125"/>
      <c r="K25" s="142">
        <f>+I25-G25</f>
        <v>0</v>
      </c>
      <c r="L25" s="145"/>
      <c r="M25" s="144">
        <f>IFERROR(+K25*E25,"Getal in kolom E")</f>
        <v>0</v>
      </c>
      <c r="N25" s="73"/>
    </row>
    <row r="26" spans="1:15" ht="15.75" thickBot="1" x14ac:dyDescent="0.3">
      <c r="B26" s="58" t="s">
        <v>415</v>
      </c>
      <c r="C26" s="106"/>
      <c r="D26" s="159"/>
      <c r="E26" s="160"/>
      <c r="F26" s="73"/>
      <c r="G26" s="161"/>
      <c r="H26" s="73"/>
      <c r="I26" s="83"/>
      <c r="J26" s="73"/>
      <c r="K26" s="146"/>
      <c r="L26" s="147"/>
      <c r="M26" s="148"/>
      <c r="N26" s="73"/>
    </row>
    <row r="27" spans="1:15" ht="15.75" thickBot="1" x14ac:dyDescent="0.3">
      <c r="C27" s="174"/>
      <c r="D27" s="159"/>
      <c r="E27" s="160"/>
      <c r="F27" s="73"/>
      <c r="G27" s="161"/>
      <c r="H27" s="73"/>
      <c r="I27" s="83"/>
      <c r="J27" s="73"/>
      <c r="K27" s="146"/>
      <c r="L27" s="147"/>
      <c r="M27" s="148"/>
      <c r="N27" s="73"/>
    </row>
    <row r="28" spans="1:15" ht="15.75" thickBot="1" x14ac:dyDescent="0.3">
      <c r="A28">
        <v>6</v>
      </c>
      <c r="B28" s="3" t="s">
        <v>443</v>
      </c>
      <c r="C28" s="27" t="s">
        <v>390</v>
      </c>
      <c r="D28" s="3" t="s">
        <v>130</v>
      </c>
      <c r="E28" s="138">
        <f>Datasheet!$R$5</f>
        <v>0.14000000000000001</v>
      </c>
      <c r="F28" s="73"/>
      <c r="G28" s="128"/>
      <c r="H28" s="131"/>
      <c r="I28" s="132"/>
      <c r="J28" s="133"/>
      <c r="K28" s="149">
        <f>+I28-G28</f>
        <v>0</v>
      </c>
      <c r="L28" s="150"/>
      <c r="M28" s="151">
        <f>+K28*E28</f>
        <v>0</v>
      </c>
      <c r="N28" s="73"/>
    </row>
    <row r="29" spans="1:15" ht="15.75" thickBot="1" x14ac:dyDescent="0.3">
      <c r="C29" s="6"/>
      <c r="E29" s="185"/>
      <c r="G29" s="83"/>
      <c r="I29" s="83"/>
      <c r="K29" s="186"/>
      <c r="L29" s="139"/>
      <c r="M29" s="186"/>
    </row>
    <row r="30" spans="1:15" ht="24" thickBot="1" x14ac:dyDescent="0.4">
      <c r="B30" s="181" t="s">
        <v>493</v>
      </c>
      <c r="C30" s="204"/>
      <c r="E30" s="84"/>
      <c r="G30" s="83"/>
      <c r="I30" s="258" t="s">
        <v>585</v>
      </c>
      <c r="J30" s="3"/>
      <c r="K30" s="3"/>
      <c r="L30" s="238"/>
      <c r="M30" s="152">
        <f>SUM($M$15:$M$28)</f>
        <v>0</v>
      </c>
    </row>
    <row r="31" spans="1:15" ht="135.75" thickBot="1" x14ac:dyDescent="0.3">
      <c r="B31" s="203" t="s">
        <v>603</v>
      </c>
      <c r="C31" s="204"/>
      <c r="E31" s="84"/>
      <c r="G31" s="83"/>
      <c r="I31" s="187"/>
      <c r="K31" s="186"/>
      <c r="L31" s="139"/>
      <c r="M31" s="186"/>
    </row>
    <row r="32" spans="1:15" ht="15.75" thickBot="1" x14ac:dyDescent="0.3">
      <c r="C32" s="174"/>
      <c r="D32" s="159"/>
      <c r="E32" s="160"/>
      <c r="F32" s="73"/>
      <c r="G32" s="76" t="s">
        <v>380</v>
      </c>
      <c r="H32" s="131"/>
      <c r="I32" s="77" t="s">
        <v>391</v>
      </c>
      <c r="J32" s="131"/>
      <c r="K32" s="199" t="s">
        <v>392</v>
      </c>
      <c r="L32" s="131"/>
      <c r="M32" s="193" t="s">
        <v>393</v>
      </c>
      <c r="N32" s="73"/>
      <c r="O32" s="206"/>
    </row>
    <row r="33" spans="2:15" ht="30.75" thickBot="1" x14ac:dyDescent="0.3">
      <c r="B33" s="205"/>
      <c r="C33" s="207" t="s">
        <v>494</v>
      </c>
      <c r="D33" s="199" t="s">
        <v>8</v>
      </c>
      <c r="E33" s="208" t="s">
        <v>495</v>
      </c>
      <c r="F33" s="73"/>
      <c r="G33" s="209" t="s">
        <v>395</v>
      </c>
      <c r="H33" s="275"/>
      <c r="I33" s="179" t="s">
        <v>496</v>
      </c>
      <c r="J33" s="192"/>
      <c r="K33" s="3" t="s">
        <v>403</v>
      </c>
      <c r="L33" s="195"/>
      <c r="M33" s="194" t="s">
        <v>404</v>
      </c>
      <c r="N33" s="73"/>
      <c r="O33" s="210" t="s">
        <v>584</v>
      </c>
    </row>
    <row r="34" spans="2:15" ht="15.75" thickBot="1" x14ac:dyDescent="0.3">
      <c r="C34" s="190"/>
      <c r="D34" s="138" t="s">
        <v>498</v>
      </c>
      <c r="E34" s="239"/>
      <c r="F34" s="73"/>
      <c r="G34" s="130"/>
      <c r="H34" s="276"/>
      <c r="I34" s="132"/>
      <c r="J34" s="73"/>
      <c r="K34" s="142">
        <f>+I34-G34</f>
        <v>0</v>
      </c>
      <c r="L34" s="147"/>
      <c r="M34" s="144">
        <f t="shared" ref="M34:M43" si="2">IFERROR(+K34*E34,"Getal in kolom E")</f>
        <v>0</v>
      </c>
      <c r="N34" s="73"/>
      <c r="O34" s="237"/>
    </row>
    <row r="35" spans="2:15" ht="15.75" thickBot="1" x14ac:dyDescent="0.3">
      <c r="C35" s="190"/>
      <c r="D35" s="138" t="s">
        <v>498</v>
      </c>
      <c r="E35" s="239"/>
      <c r="F35" s="73"/>
      <c r="G35" s="130"/>
      <c r="H35" s="276"/>
      <c r="I35" s="132"/>
      <c r="J35" s="73"/>
      <c r="K35" s="142">
        <f t="shared" ref="K35:K43" si="3">+I35-G35</f>
        <v>0</v>
      </c>
      <c r="L35" s="147"/>
      <c r="M35" s="144">
        <f t="shared" si="2"/>
        <v>0</v>
      </c>
      <c r="N35" s="73"/>
      <c r="O35" s="237"/>
    </row>
    <row r="36" spans="2:15" ht="15.75" thickBot="1" x14ac:dyDescent="0.3">
      <c r="C36" s="190"/>
      <c r="D36" s="138" t="s">
        <v>498</v>
      </c>
      <c r="E36" s="239"/>
      <c r="F36" s="73"/>
      <c r="G36" s="130"/>
      <c r="H36" s="276"/>
      <c r="I36" s="132"/>
      <c r="J36" s="73"/>
      <c r="K36" s="142">
        <f t="shared" si="3"/>
        <v>0</v>
      </c>
      <c r="L36" s="147"/>
      <c r="M36" s="144">
        <f t="shared" si="2"/>
        <v>0</v>
      </c>
      <c r="N36" s="73"/>
      <c r="O36" s="237"/>
    </row>
    <row r="37" spans="2:15" ht="15.75" thickBot="1" x14ac:dyDescent="0.3">
      <c r="C37" s="190"/>
      <c r="D37" s="138" t="s">
        <v>498</v>
      </c>
      <c r="E37" s="239"/>
      <c r="F37" s="73"/>
      <c r="G37" s="130"/>
      <c r="H37" s="276"/>
      <c r="I37" s="132"/>
      <c r="J37" s="73"/>
      <c r="K37" s="142">
        <f t="shared" si="3"/>
        <v>0</v>
      </c>
      <c r="L37" s="147"/>
      <c r="M37" s="144">
        <f t="shared" si="2"/>
        <v>0</v>
      </c>
      <c r="N37" s="73"/>
      <c r="O37" s="237"/>
    </row>
    <row r="38" spans="2:15" ht="15.75" thickBot="1" x14ac:dyDescent="0.3">
      <c r="C38" s="190"/>
      <c r="D38" s="138" t="s">
        <v>498</v>
      </c>
      <c r="E38" s="239"/>
      <c r="F38" s="73"/>
      <c r="G38" s="130"/>
      <c r="H38" s="276"/>
      <c r="I38" s="132"/>
      <c r="J38" s="73"/>
      <c r="K38" s="142">
        <f t="shared" si="3"/>
        <v>0</v>
      </c>
      <c r="L38" s="147"/>
      <c r="M38" s="144">
        <f t="shared" si="2"/>
        <v>0</v>
      </c>
      <c r="N38" s="73"/>
      <c r="O38" s="237"/>
    </row>
    <row r="39" spans="2:15" ht="15.75" thickBot="1" x14ac:dyDescent="0.3">
      <c r="C39" s="190"/>
      <c r="D39" s="138" t="s">
        <v>498</v>
      </c>
      <c r="E39" s="239"/>
      <c r="F39" s="73"/>
      <c r="G39" s="130"/>
      <c r="H39" s="276"/>
      <c r="I39" s="132"/>
      <c r="J39" s="73"/>
      <c r="K39" s="142">
        <f t="shared" si="3"/>
        <v>0</v>
      </c>
      <c r="L39" s="147"/>
      <c r="M39" s="144">
        <f t="shared" si="2"/>
        <v>0</v>
      </c>
      <c r="N39" s="73"/>
      <c r="O39" s="237"/>
    </row>
    <row r="40" spans="2:15" ht="15.75" thickBot="1" x14ac:dyDescent="0.3">
      <c r="C40" s="190"/>
      <c r="D40" s="138" t="s">
        <v>498</v>
      </c>
      <c r="E40" s="239"/>
      <c r="F40" s="73"/>
      <c r="G40" s="130"/>
      <c r="H40" s="276"/>
      <c r="I40" s="132"/>
      <c r="J40" s="73"/>
      <c r="K40" s="142">
        <f t="shared" si="3"/>
        <v>0</v>
      </c>
      <c r="L40" s="147"/>
      <c r="M40" s="144">
        <f t="shared" si="2"/>
        <v>0</v>
      </c>
      <c r="N40" s="73"/>
      <c r="O40" s="237"/>
    </row>
    <row r="41" spans="2:15" ht="15.75" thickBot="1" x14ac:dyDescent="0.3">
      <c r="C41" s="190"/>
      <c r="D41" s="138" t="s">
        <v>498</v>
      </c>
      <c r="E41" s="239"/>
      <c r="F41" s="73"/>
      <c r="G41" s="130"/>
      <c r="H41" s="276"/>
      <c r="I41" s="132"/>
      <c r="J41" s="73"/>
      <c r="K41" s="142">
        <f t="shared" si="3"/>
        <v>0</v>
      </c>
      <c r="L41" s="147"/>
      <c r="M41" s="144">
        <f t="shared" si="2"/>
        <v>0</v>
      </c>
      <c r="N41" s="73"/>
      <c r="O41" s="237"/>
    </row>
    <row r="42" spans="2:15" ht="15.75" thickBot="1" x14ac:dyDescent="0.3">
      <c r="C42" s="190"/>
      <c r="D42" s="138" t="s">
        <v>498</v>
      </c>
      <c r="E42" s="239"/>
      <c r="F42" s="73"/>
      <c r="G42" s="130"/>
      <c r="H42" s="276"/>
      <c r="I42" s="132"/>
      <c r="J42" s="73"/>
      <c r="K42" s="142">
        <f t="shared" si="3"/>
        <v>0</v>
      </c>
      <c r="L42" s="147"/>
      <c r="M42" s="144">
        <f t="shared" si="2"/>
        <v>0</v>
      </c>
      <c r="N42" s="73"/>
      <c r="O42" s="237"/>
    </row>
    <row r="43" spans="2:15" ht="15.75" thickBot="1" x14ac:dyDescent="0.3">
      <c r="C43" s="190"/>
      <c r="D43" s="138" t="s">
        <v>498</v>
      </c>
      <c r="E43" s="239"/>
      <c r="F43" s="73"/>
      <c r="G43" s="130"/>
      <c r="H43" s="276"/>
      <c r="I43" s="132"/>
      <c r="J43" s="73"/>
      <c r="K43" s="142">
        <f t="shared" si="3"/>
        <v>0</v>
      </c>
      <c r="L43" s="147"/>
      <c r="M43" s="144">
        <f t="shared" si="2"/>
        <v>0</v>
      </c>
      <c r="N43" s="73"/>
      <c r="O43" s="237"/>
    </row>
    <row r="44" spans="2:15" ht="15.75" thickBot="1" x14ac:dyDescent="0.3">
      <c r="C44" s="204"/>
      <c r="E44" s="84"/>
      <c r="G44" s="83"/>
      <c r="I44" s="187"/>
      <c r="K44" s="186"/>
      <c r="L44" s="139"/>
      <c r="M44" s="186"/>
    </row>
    <row r="45" spans="2:15" ht="24" thickBot="1" x14ac:dyDescent="0.4">
      <c r="B45" s="181" t="s">
        <v>499</v>
      </c>
      <c r="C45" s="204"/>
      <c r="E45" s="84"/>
      <c r="G45" s="83"/>
      <c r="I45" s="258" t="s">
        <v>585</v>
      </c>
      <c r="J45" s="3"/>
      <c r="K45" s="3"/>
      <c r="L45" s="238"/>
      <c r="M45" s="152">
        <f>SUM($M$34:$M$43)</f>
        <v>0</v>
      </c>
    </row>
    <row r="46" spans="2:15" ht="120.75" thickBot="1" x14ac:dyDescent="0.3">
      <c r="B46" s="203" t="s">
        <v>592</v>
      </c>
      <c r="C46" s="204"/>
      <c r="E46" s="84"/>
      <c r="G46" s="83"/>
      <c r="I46" s="187"/>
      <c r="K46" s="186"/>
      <c r="L46" s="139"/>
      <c r="M46" s="186"/>
    </row>
    <row r="47" spans="2:15" ht="15.75" thickBot="1" x14ac:dyDescent="0.3">
      <c r="C47" s="174"/>
      <c r="D47" s="159"/>
      <c r="E47" s="160"/>
      <c r="F47" s="73"/>
      <c r="G47" s="76" t="s">
        <v>380</v>
      </c>
      <c r="H47" s="131"/>
      <c r="I47" s="77" t="s">
        <v>391</v>
      </c>
      <c r="J47" s="131"/>
      <c r="K47" s="199" t="s">
        <v>392</v>
      </c>
      <c r="L47" s="131"/>
      <c r="M47" s="193" t="s">
        <v>393</v>
      </c>
      <c r="N47" s="73"/>
      <c r="O47" s="206"/>
    </row>
    <row r="48" spans="2:15" ht="30.75" thickBot="1" x14ac:dyDescent="0.3">
      <c r="B48" s="205"/>
      <c r="C48" s="207" t="s">
        <v>500</v>
      </c>
      <c r="D48" s="199" t="s">
        <v>8</v>
      </c>
      <c r="E48" s="208" t="s">
        <v>495</v>
      </c>
      <c r="F48" s="73"/>
      <c r="G48" s="209" t="s">
        <v>395</v>
      </c>
      <c r="H48" s="177"/>
      <c r="I48" s="179" t="s">
        <v>496</v>
      </c>
      <c r="J48" s="192"/>
      <c r="K48" s="3" t="s">
        <v>403</v>
      </c>
      <c r="L48" s="195"/>
      <c r="M48" s="194" t="s">
        <v>404</v>
      </c>
      <c r="N48" s="73"/>
      <c r="O48" s="210" t="s">
        <v>583</v>
      </c>
    </row>
    <row r="49" spans="2:15" ht="15.75" thickBot="1" x14ac:dyDescent="0.3">
      <c r="B49" s="3" t="s">
        <v>501</v>
      </c>
      <c r="C49" s="190"/>
      <c r="D49" s="261" t="s">
        <v>498</v>
      </c>
      <c r="E49" s="239"/>
      <c r="F49" s="73"/>
      <c r="G49" s="130"/>
      <c r="H49" s="276"/>
      <c r="I49" s="132"/>
      <c r="J49" s="73"/>
      <c r="K49" s="142">
        <f t="shared" ref="K49:K58" si="4">+I49-G49</f>
        <v>0</v>
      </c>
      <c r="L49" s="147"/>
      <c r="M49" s="144">
        <f t="shared" ref="M49:M58" si="5">IFERROR(+K49*E49,"Getal in kolom E")</f>
        <v>0</v>
      </c>
      <c r="N49" s="73"/>
      <c r="O49" s="237"/>
    </row>
    <row r="50" spans="2:15" ht="15.75" thickBot="1" x14ac:dyDescent="0.3">
      <c r="B50" s="3" t="s">
        <v>501</v>
      </c>
      <c r="C50" s="190"/>
      <c r="D50" s="261" t="s">
        <v>498</v>
      </c>
      <c r="E50" s="239"/>
      <c r="F50" s="73"/>
      <c r="G50" s="130"/>
      <c r="H50" s="276"/>
      <c r="I50" s="132"/>
      <c r="J50" s="73"/>
      <c r="K50" s="142">
        <f t="shared" si="4"/>
        <v>0</v>
      </c>
      <c r="L50" s="147"/>
      <c r="M50" s="144">
        <f t="shared" si="5"/>
        <v>0</v>
      </c>
      <c r="N50" s="73"/>
      <c r="O50" s="237"/>
    </row>
    <row r="51" spans="2:15" ht="15.75" thickBot="1" x14ac:dyDescent="0.3">
      <c r="B51" s="3" t="s">
        <v>501</v>
      </c>
      <c r="C51" s="190"/>
      <c r="D51" s="261" t="s">
        <v>498</v>
      </c>
      <c r="E51" s="239"/>
      <c r="F51" s="73"/>
      <c r="G51" s="130"/>
      <c r="H51" s="276"/>
      <c r="I51" s="132"/>
      <c r="J51" s="73"/>
      <c r="K51" s="142">
        <f t="shared" si="4"/>
        <v>0</v>
      </c>
      <c r="L51" s="147"/>
      <c r="M51" s="144">
        <f t="shared" si="5"/>
        <v>0</v>
      </c>
      <c r="N51" s="73"/>
      <c r="O51" s="237"/>
    </row>
    <row r="52" spans="2:15" ht="15.75" thickBot="1" x14ac:dyDescent="0.3">
      <c r="B52" s="3" t="s">
        <v>501</v>
      </c>
      <c r="C52" s="190"/>
      <c r="D52" s="261" t="s">
        <v>498</v>
      </c>
      <c r="E52" s="239"/>
      <c r="F52" s="73"/>
      <c r="G52" s="130"/>
      <c r="H52" s="276"/>
      <c r="I52" s="132"/>
      <c r="J52" s="73"/>
      <c r="K52" s="142">
        <f t="shared" si="4"/>
        <v>0</v>
      </c>
      <c r="L52" s="147"/>
      <c r="M52" s="144">
        <f t="shared" si="5"/>
        <v>0</v>
      </c>
      <c r="N52" s="73"/>
      <c r="O52" s="237"/>
    </row>
    <row r="53" spans="2:15" ht="15.75" thickBot="1" x14ac:dyDescent="0.3">
      <c r="B53" s="3" t="s">
        <v>501</v>
      </c>
      <c r="C53" s="190"/>
      <c r="D53" s="261" t="s">
        <v>498</v>
      </c>
      <c r="E53" s="239"/>
      <c r="F53" s="73"/>
      <c r="G53" s="130"/>
      <c r="H53" s="276"/>
      <c r="I53" s="132"/>
      <c r="J53" s="73"/>
      <c r="K53" s="142">
        <f t="shared" si="4"/>
        <v>0</v>
      </c>
      <c r="L53" s="147"/>
      <c r="M53" s="144">
        <f t="shared" si="5"/>
        <v>0</v>
      </c>
      <c r="N53" s="73"/>
      <c r="O53" s="237"/>
    </row>
    <row r="54" spans="2:15" ht="15.75" thickBot="1" x14ac:dyDescent="0.3">
      <c r="B54" s="3" t="s">
        <v>502</v>
      </c>
      <c r="C54" s="190"/>
      <c r="D54" s="261" t="s">
        <v>498</v>
      </c>
      <c r="E54" s="239"/>
      <c r="F54" s="73"/>
      <c r="G54" s="130"/>
      <c r="H54" s="276"/>
      <c r="I54" s="132"/>
      <c r="J54" s="73"/>
      <c r="K54" s="142">
        <f t="shared" si="4"/>
        <v>0</v>
      </c>
      <c r="L54" s="147"/>
      <c r="M54" s="144">
        <f t="shared" si="5"/>
        <v>0</v>
      </c>
      <c r="N54" s="73"/>
      <c r="O54" s="237"/>
    </row>
    <row r="55" spans="2:15" ht="15.75" thickBot="1" x14ac:dyDescent="0.3">
      <c r="B55" s="3" t="s">
        <v>502</v>
      </c>
      <c r="C55" s="190"/>
      <c r="D55" s="261" t="s">
        <v>498</v>
      </c>
      <c r="E55" s="239"/>
      <c r="F55" s="73"/>
      <c r="G55" s="130"/>
      <c r="H55" s="276"/>
      <c r="I55" s="132"/>
      <c r="J55" s="73"/>
      <c r="K55" s="142">
        <f t="shared" si="4"/>
        <v>0</v>
      </c>
      <c r="L55" s="147"/>
      <c r="M55" s="144">
        <f t="shared" si="5"/>
        <v>0</v>
      </c>
      <c r="N55" s="73"/>
      <c r="O55" s="237"/>
    </row>
    <row r="56" spans="2:15" ht="15.75" thickBot="1" x14ac:dyDescent="0.3">
      <c r="B56" s="3" t="s">
        <v>502</v>
      </c>
      <c r="C56" s="190"/>
      <c r="D56" s="261" t="s">
        <v>498</v>
      </c>
      <c r="E56" s="239"/>
      <c r="F56" s="73"/>
      <c r="G56" s="130"/>
      <c r="H56" s="276"/>
      <c r="I56" s="132"/>
      <c r="J56" s="73"/>
      <c r="K56" s="142">
        <f t="shared" si="4"/>
        <v>0</v>
      </c>
      <c r="L56" s="147"/>
      <c r="M56" s="144">
        <f t="shared" si="5"/>
        <v>0</v>
      </c>
      <c r="N56" s="73"/>
      <c r="O56" s="237"/>
    </row>
    <row r="57" spans="2:15" ht="15.75" thickBot="1" x14ac:dyDescent="0.3">
      <c r="B57" s="3" t="s">
        <v>502</v>
      </c>
      <c r="C57" s="190"/>
      <c r="D57" s="261" t="s">
        <v>498</v>
      </c>
      <c r="E57" s="239"/>
      <c r="F57" s="73"/>
      <c r="G57" s="130"/>
      <c r="H57" s="276"/>
      <c r="I57" s="132"/>
      <c r="J57" s="73"/>
      <c r="K57" s="142">
        <f t="shared" si="4"/>
        <v>0</v>
      </c>
      <c r="L57" s="147"/>
      <c r="M57" s="144">
        <f t="shared" si="5"/>
        <v>0</v>
      </c>
      <c r="N57" s="73"/>
      <c r="O57" s="237"/>
    </row>
    <row r="58" spans="2:15" ht="15.75" thickBot="1" x14ac:dyDescent="0.3">
      <c r="B58" s="3" t="s">
        <v>502</v>
      </c>
      <c r="C58" s="190"/>
      <c r="D58" s="261" t="s">
        <v>498</v>
      </c>
      <c r="E58" s="239"/>
      <c r="F58" s="73"/>
      <c r="G58" s="130"/>
      <c r="H58" s="276"/>
      <c r="I58" s="132"/>
      <c r="J58" s="73"/>
      <c r="K58" s="142">
        <f t="shared" si="4"/>
        <v>0</v>
      </c>
      <c r="L58" s="147"/>
      <c r="M58" s="144">
        <f t="shared" si="5"/>
        <v>0</v>
      </c>
      <c r="N58" s="73"/>
      <c r="O58" s="237"/>
    </row>
    <row r="59" spans="2:15" ht="15.75" thickBot="1" x14ac:dyDescent="0.3">
      <c r="C59" s="204"/>
      <c r="E59" s="84"/>
      <c r="G59" s="83"/>
      <c r="I59" s="187"/>
      <c r="K59" s="186"/>
      <c r="L59" s="139"/>
      <c r="M59" s="186"/>
    </row>
    <row r="60" spans="2:15" ht="24" thickBot="1" x14ac:dyDescent="0.4">
      <c r="B60" s="181" t="s">
        <v>503</v>
      </c>
      <c r="C60" s="204"/>
      <c r="E60" s="84"/>
      <c r="G60" s="83"/>
      <c r="I60" s="258" t="s">
        <v>585</v>
      </c>
      <c r="J60" s="3"/>
      <c r="K60" s="3"/>
      <c r="L60" s="238"/>
      <c r="M60" s="152">
        <f>SUM($M$49:$M$58)</f>
        <v>0</v>
      </c>
    </row>
    <row r="61" spans="2:15" ht="210.75" thickBot="1" x14ac:dyDescent="0.3">
      <c r="B61" s="203" t="s">
        <v>593</v>
      </c>
      <c r="C61" s="204"/>
      <c r="E61" s="84"/>
      <c r="G61" s="83"/>
      <c r="I61" s="187"/>
      <c r="K61" s="186"/>
      <c r="L61" s="139"/>
      <c r="M61" s="186"/>
    </row>
    <row r="62" spans="2:15" ht="24" thickBot="1" x14ac:dyDescent="0.4">
      <c r="B62" s="181" t="s">
        <v>504</v>
      </c>
      <c r="C62" s="174"/>
      <c r="D62" s="159"/>
      <c r="E62" s="160"/>
      <c r="F62" s="73"/>
      <c r="G62" s="76"/>
      <c r="H62" s="131"/>
      <c r="I62" s="77"/>
      <c r="J62" s="131"/>
      <c r="K62" s="199" t="s">
        <v>392</v>
      </c>
      <c r="L62" s="131"/>
      <c r="M62" s="193" t="s">
        <v>393</v>
      </c>
      <c r="N62" s="73"/>
      <c r="O62" s="206"/>
    </row>
    <row r="63" spans="2:15" ht="60.75" thickBot="1" x14ac:dyDescent="0.3">
      <c r="B63" s="207" t="s">
        <v>505</v>
      </c>
      <c r="C63" s="207" t="s">
        <v>527</v>
      </c>
      <c r="D63" s="199" t="s">
        <v>8</v>
      </c>
      <c r="E63" s="208" t="s">
        <v>506</v>
      </c>
      <c r="F63" s="73"/>
      <c r="G63" s="208" t="s">
        <v>507</v>
      </c>
      <c r="H63" s="177"/>
      <c r="I63" s="179"/>
      <c r="J63" s="192"/>
      <c r="K63" s="3" t="s">
        <v>403</v>
      </c>
      <c r="L63" s="195"/>
      <c r="M63" s="211" t="s">
        <v>514</v>
      </c>
      <c r="N63" s="73"/>
      <c r="O63" s="210" t="s">
        <v>583</v>
      </c>
    </row>
    <row r="64" spans="2:15" ht="15.75" thickBot="1" x14ac:dyDescent="0.3">
      <c r="B64" s="262" t="s">
        <v>599</v>
      </c>
      <c r="C64" s="190"/>
      <c r="D64" s="261" t="s">
        <v>498</v>
      </c>
      <c r="E64" s="267"/>
      <c r="F64" s="73"/>
      <c r="G64" s="130"/>
      <c r="H64" s="73"/>
      <c r="I64" s="212"/>
      <c r="J64" s="73"/>
      <c r="K64" s="142">
        <f t="shared" ref="K64:K73" si="6">+I64-G64</f>
        <v>0</v>
      </c>
      <c r="L64" s="147"/>
      <c r="M64" s="144">
        <f t="shared" ref="M64:M73" si="7">IFERROR(+K64*E64,"Getal in kolom E")</f>
        <v>0</v>
      </c>
      <c r="N64" s="73"/>
      <c r="O64" s="237"/>
    </row>
    <row r="65" spans="2:15" ht="15.75" thickBot="1" x14ac:dyDescent="0.3">
      <c r="B65" s="262"/>
      <c r="C65" s="190"/>
      <c r="D65" s="261" t="s">
        <v>498</v>
      </c>
      <c r="E65" s="267"/>
      <c r="F65" s="73"/>
      <c r="G65" s="130"/>
      <c r="H65" s="73"/>
      <c r="I65" s="212"/>
      <c r="J65" s="73"/>
      <c r="K65" s="142">
        <f t="shared" si="6"/>
        <v>0</v>
      </c>
      <c r="L65" s="147"/>
      <c r="M65" s="144">
        <f t="shared" si="7"/>
        <v>0</v>
      </c>
      <c r="N65" s="73"/>
      <c r="O65" s="237"/>
    </row>
    <row r="66" spans="2:15" ht="15.75" thickBot="1" x14ac:dyDescent="0.3">
      <c r="B66" s="262"/>
      <c r="C66" s="190"/>
      <c r="D66" s="261" t="s">
        <v>498</v>
      </c>
      <c r="E66" s="267"/>
      <c r="F66" s="73"/>
      <c r="G66" s="130"/>
      <c r="H66" s="73"/>
      <c r="I66" s="212"/>
      <c r="J66" s="73"/>
      <c r="K66" s="142">
        <f t="shared" si="6"/>
        <v>0</v>
      </c>
      <c r="L66" s="147"/>
      <c r="M66" s="144">
        <f t="shared" si="7"/>
        <v>0</v>
      </c>
      <c r="N66" s="73"/>
      <c r="O66" s="237"/>
    </row>
    <row r="67" spans="2:15" ht="15.75" thickBot="1" x14ac:dyDescent="0.3">
      <c r="B67" s="262"/>
      <c r="C67" s="190"/>
      <c r="D67" s="261" t="s">
        <v>498</v>
      </c>
      <c r="E67" s="267"/>
      <c r="F67" s="73"/>
      <c r="G67" s="130"/>
      <c r="H67" s="73"/>
      <c r="I67" s="212"/>
      <c r="J67" s="73"/>
      <c r="K67" s="142">
        <f t="shared" si="6"/>
        <v>0</v>
      </c>
      <c r="L67" s="147"/>
      <c r="M67" s="144">
        <f t="shared" si="7"/>
        <v>0</v>
      </c>
      <c r="N67" s="73"/>
      <c r="O67" s="237"/>
    </row>
    <row r="68" spans="2:15" ht="15.75" thickBot="1" x14ac:dyDescent="0.3">
      <c r="B68" s="262"/>
      <c r="C68" s="190"/>
      <c r="D68" s="261" t="s">
        <v>498</v>
      </c>
      <c r="E68" s="267"/>
      <c r="F68" s="73"/>
      <c r="G68" s="130"/>
      <c r="H68" s="73"/>
      <c r="I68" s="212"/>
      <c r="J68" s="73"/>
      <c r="K68" s="142">
        <f t="shared" si="6"/>
        <v>0</v>
      </c>
      <c r="L68" s="147"/>
      <c r="M68" s="144">
        <f t="shared" si="7"/>
        <v>0</v>
      </c>
      <c r="N68" s="73"/>
      <c r="O68" s="237"/>
    </row>
    <row r="69" spans="2:15" ht="15.75" thickBot="1" x14ac:dyDescent="0.3">
      <c r="B69" s="262"/>
      <c r="C69" s="190"/>
      <c r="D69" s="261" t="s">
        <v>498</v>
      </c>
      <c r="E69" s="267"/>
      <c r="F69" s="73"/>
      <c r="G69" s="130"/>
      <c r="H69" s="73"/>
      <c r="I69" s="212"/>
      <c r="J69" s="73"/>
      <c r="K69" s="142">
        <f t="shared" si="6"/>
        <v>0</v>
      </c>
      <c r="L69" s="147"/>
      <c r="M69" s="144">
        <f t="shared" si="7"/>
        <v>0</v>
      </c>
      <c r="N69" s="73"/>
      <c r="O69" s="237"/>
    </row>
    <row r="70" spans="2:15" ht="15.75" thickBot="1" x14ac:dyDescent="0.3">
      <c r="B70" s="262"/>
      <c r="C70" s="190"/>
      <c r="D70" s="261" t="s">
        <v>498</v>
      </c>
      <c r="E70" s="267"/>
      <c r="F70" s="73"/>
      <c r="G70" s="130"/>
      <c r="H70" s="73"/>
      <c r="I70" s="212"/>
      <c r="J70" s="73"/>
      <c r="K70" s="142">
        <f t="shared" si="6"/>
        <v>0</v>
      </c>
      <c r="L70" s="147"/>
      <c r="M70" s="144">
        <f t="shared" si="7"/>
        <v>0</v>
      </c>
      <c r="N70" s="73"/>
      <c r="O70" s="237"/>
    </row>
    <row r="71" spans="2:15" ht="15.75" thickBot="1" x14ac:dyDescent="0.3">
      <c r="B71" s="262"/>
      <c r="C71" s="190"/>
      <c r="D71" s="261" t="s">
        <v>498</v>
      </c>
      <c r="E71" s="267"/>
      <c r="F71" s="73"/>
      <c r="G71" s="130"/>
      <c r="H71" s="73"/>
      <c r="I71" s="212"/>
      <c r="J71" s="73"/>
      <c r="K71" s="142">
        <f t="shared" si="6"/>
        <v>0</v>
      </c>
      <c r="L71" s="147"/>
      <c r="M71" s="144">
        <f t="shared" si="7"/>
        <v>0</v>
      </c>
      <c r="N71" s="73"/>
      <c r="O71" s="237"/>
    </row>
    <row r="72" spans="2:15" ht="15.75" thickBot="1" x14ac:dyDescent="0.3">
      <c r="B72" s="263"/>
      <c r="C72" s="264"/>
      <c r="D72" s="265" t="s">
        <v>498</v>
      </c>
      <c r="E72" s="267"/>
      <c r="F72" s="73"/>
      <c r="G72" s="130"/>
      <c r="H72" s="73"/>
      <c r="I72" s="259"/>
      <c r="J72" s="73"/>
      <c r="K72" s="260">
        <f t="shared" si="6"/>
        <v>0</v>
      </c>
      <c r="L72" s="147"/>
      <c r="M72" s="144">
        <f t="shared" si="7"/>
        <v>0</v>
      </c>
      <c r="N72" s="73"/>
      <c r="O72" s="266"/>
    </row>
    <row r="73" spans="2:15" ht="15.75" thickBot="1" x14ac:dyDescent="0.3">
      <c r="B73" s="262"/>
      <c r="C73" s="190"/>
      <c r="D73" s="261" t="s">
        <v>498</v>
      </c>
      <c r="E73" s="267"/>
      <c r="F73" s="188"/>
      <c r="G73" s="130"/>
      <c r="H73" s="188"/>
      <c r="I73" s="212"/>
      <c r="J73" s="188"/>
      <c r="K73" s="142">
        <f t="shared" si="6"/>
        <v>0</v>
      </c>
      <c r="L73" s="145"/>
      <c r="M73" s="144">
        <f t="shared" si="7"/>
        <v>0</v>
      </c>
      <c r="N73" s="188"/>
      <c r="O73" s="237"/>
    </row>
    <row r="74" spans="2:15" ht="15.75" thickBot="1" x14ac:dyDescent="0.3">
      <c r="C74" s="174"/>
      <c r="D74" s="224"/>
      <c r="E74" s="224"/>
      <c r="G74" s="83"/>
      <c r="I74" s="83"/>
      <c r="K74" s="186"/>
      <c r="L74" s="139"/>
      <c r="M74" s="186"/>
    </row>
    <row r="75" spans="2:15" ht="15.75" thickBot="1" x14ac:dyDescent="0.3">
      <c r="C75" s="174"/>
      <c r="D75" s="224"/>
      <c r="E75" s="224"/>
      <c r="G75" s="83"/>
      <c r="I75" s="258" t="s">
        <v>585</v>
      </c>
      <c r="J75" s="3"/>
      <c r="K75" s="3"/>
      <c r="L75" s="238"/>
      <c r="M75" s="152">
        <f>SUM($M$64:$M$73)</f>
        <v>0</v>
      </c>
    </row>
    <row r="76" spans="2:15" ht="15.75" thickBot="1" x14ac:dyDescent="0.3">
      <c r="C76" s="204"/>
      <c r="E76" s="84"/>
      <c r="G76" s="83"/>
      <c r="I76" s="187"/>
      <c r="K76" s="186"/>
      <c r="L76" s="139"/>
      <c r="M76" s="186"/>
    </row>
    <row r="77" spans="2:15" ht="24" thickBot="1" x14ac:dyDescent="0.4">
      <c r="B77" s="181" t="s">
        <v>509</v>
      </c>
      <c r="C77" s="174"/>
      <c r="D77" s="159"/>
      <c r="E77" s="160"/>
      <c r="F77" s="73"/>
      <c r="G77" s="76"/>
      <c r="H77" s="131"/>
      <c r="I77" s="77"/>
      <c r="J77" s="131"/>
      <c r="K77" s="199" t="s">
        <v>392</v>
      </c>
      <c r="L77" s="131"/>
      <c r="M77" s="193" t="s">
        <v>393</v>
      </c>
      <c r="N77" s="73"/>
      <c r="O77" s="206"/>
    </row>
    <row r="78" spans="2:15" ht="60.75" thickBot="1" x14ac:dyDescent="0.3">
      <c r="B78" s="207" t="s">
        <v>510</v>
      </c>
      <c r="C78" s="207" t="s">
        <v>511</v>
      </c>
      <c r="D78" s="199" t="s">
        <v>8</v>
      </c>
      <c r="E78" s="208" t="s">
        <v>512</v>
      </c>
      <c r="F78" s="73"/>
      <c r="G78" s="208" t="s">
        <v>513</v>
      </c>
      <c r="H78" s="177"/>
      <c r="I78" s="179"/>
      <c r="J78" s="192"/>
      <c r="K78" s="3" t="s">
        <v>403</v>
      </c>
      <c r="L78" s="195"/>
      <c r="M78" s="211" t="s">
        <v>508</v>
      </c>
      <c r="N78" s="73"/>
      <c r="O78" s="210" t="s">
        <v>583</v>
      </c>
    </row>
    <row r="79" spans="2:15" ht="15.75" thickBot="1" x14ac:dyDescent="0.3">
      <c r="B79" s="262"/>
      <c r="C79" s="190"/>
      <c r="D79" s="261" t="s">
        <v>498</v>
      </c>
      <c r="E79" s="267"/>
      <c r="F79" s="73"/>
      <c r="G79" s="130"/>
      <c r="H79" s="73"/>
      <c r="I79" s="212"/>
      <c r="J79" s="73"/>
      <c r="K79" s="142">
        <f t="shared" ref="K79:K88" si="8">+I79-G79</f>
        <v>0</v>
      </c>
      <c r="L79" s="147"/>
      <c r="M79" s="144">
        <f t="shared" ref="M79:M88" si="9">IFERROR(+K79*E79,"Getal in kolom E")</f>
        <v>0</v>
      </c>
      <c r="N79" s="73"/>
      <c r="O79" s="237"/>
    </row>
    <row r="80" spans="2:15" ht="15.75" thickBot="1" x14ac:dyDescent="0.3">
      <c r="B80" s="262"/>
      <c r="C80" s="190"/>
      <c r="D80" s="261" t="s">
        <v>498</v>
      </c>
      <c r="E80" s="267"/>
      <c r="F80" s="73"/>
      <c r="G80" s="130"/>
      <c r="H80" s="73"/>
      <c r="I80" s="212"/>
      <c r="J80" s="73"/>
      <c r="K80" s="142">
        <f t="shared" si="8"/>
        <v>0</v>
      </c>
      <c r="L80" s="147"/>
      <c r="M80" s="144">
        <f t="shared" si="9"/>
        <v>0</v>
      </c>
      <c r="N80" s="73"/>
      <c r="O80" s="237"/>
    </row>
    <row r="81" spans="2:15" ht="15.75" thickBot="1" x14ac:dyDescent="0.3">
      <c r="B81" s="262"/>
      <c r="C81" s="190"/>
      <c r="D81" s="261" t="s">
        <v>498</v>
      </c>
      <c r="E81" s="267"/>
      <c r="F81" s="73"/>
      <c r="G81" s="130"/>
      <c r="H81" s="73"/>
      <c r="I81" s="212"/>
      <c r="J81" s="73"/>
      <c r="K81" s="142">
        <f t="shared" si="8"/>
        <v>0</v>
      </c>
      <c r="L81" s="147"/>
      <c r="M81" s="144">
        <f t="shared" si="9"/>
        <v>0</v>
      </c>
      <c r="N81" s="73"/>
      <c r="O81" s="237"/>
    </row>
    <row r="82" spans="2:15" ht="15.75" thickBot="1" x14ac:dyDescent="0.3">
      <c r="B82" s="262"/>
      <c r="C82" s="190"/>
      <c r="D82" s="261" t="s">
        <v>498</v>
      </c>
      <c r="E82" s="267"/>
      <c r="F82" s="73"/>
      <c r="G82" s="130"/>
      <c r="H82" s="73"/>
      <c r="I82" s="212"/>
      <c r="J82" s="73"/>
      <c r="K82" s="142">
        <f t="shared" si="8"/>
        <v>0</v>
      </c>
      <c r="L82" s="147"/>
      <c r="M82" s="144">
        <f t="shared" si="9"/>
        <v>0</v>
      </c>
      <c r="N82" s="73"/>
      <c r="O82" s="237"/>
    </row>
    <row r="83" spans="2:15" ht="15.75" thickBot="1" x14ac:dyDescent="0.3">
      <c r="B83" s="262"/>
      <c r="C83" s="190"/>
      <c r="D83" s="261" t="s">
        <v>498</v>
      </c>
      <c r="E83" s="267"/>
      <c r="F83" s="73"/>
      <c r="G83" s="130"/>
      <c r="H83" s="73"/>
      <c r="I83" s="212"/>
      <c r="J83" s="73"/>
      <c r="K83" s="142">
        <f t="shared" si="8"/>
        <v>0</v>
      </c>
      <c r="L83" s="147"/>
      <c r="M83" s="144">
        <f t="shared" si="9"/>
        <v>0</v>
      </c>
      <c r="N83" s="73"/>
      <c r="O83" s="237"/>
    </row>
    <row r="84" spans="2:15" ht="15.75" thickBot="1" x14ac:dyDescent="0.3">
      <c r="B84" s="262"/>
      <c r="C84" s="190"/>
      <c r="D84" s="261" t="s">
        <v>498</v>
      </c>
      <c r="E84" s="267"/>
      <c r="F84" s="73"/>
      <c r="G84" s="130"/>
      <c r="H84" s="73"/>
      <c r="I84" s="212"/>
      <c r="J84" s="73"/>
      <c r="K84" s="142">
        <f t="shared" si="8"/>
        <v>0</v>
      </c>
      <c r="L84" s="147"/>
      <c r="M84" s="144">
        <f t="shared" si="9"/>
        <v>0</v>
      </c>
      <c r="N84" s="73"/>
      <c r="O84" s="237"/>
    </row>
    <row r="85" spans="2:15" ht="15.75" thickBot="1" x14ac:dyDescent="0.3">
      <c r="B85" s="262"/>
      <c r="C85" s="190"/>
      <c r="D85" s="261" t="s">
        <v>498</v>
      </c>
      <c r="E85" s="267"/>
      <c r="F85" s="73"/>
      <c r="G85" s="130"/>
      <c r="H85" s="73"/>
      <c r="I85" s="212"/>
      <c r="J85" s="73"/>
      <c r="K85" s="142">
        <f t="shared" si="8"/>
        <v>0</v>
      </c>
      <c r="L85" s="147"/>
      <c r="M85" s="144">
        <f t="shared" si="9"/>
        <v>0</v>
      </c>
      <c r="N85" s="73"/>
      <c r="O85" s="237"/>
    </row>
    <row r="86" spans="2:15" ht="15.75" thickBot="1" x14ac:dyDescent="0.3">
      <c r="B86" s="262"/>
      <c r="C86" s="190"/>
      <c r="D86" s="261" t="s">
        <v>498</v>
      </c>
      <c r="E86" s="267"/>
      <c r="F86" s="73"/>
      <c r="G86" s="130"/>
      <c r="H86" s="73"/>
      <c r="I86" s="212"/>
      <c r="J86" s="73"/>
      <c r="K86" s="142">
        <f t="shared" si="8"/>
        <v>0</v>
      </c>
      <c r="L86" s="147"/>
      <c r="M86" s="144">
        <f t="shared" si="9"/>
        <v>0</v>
      </c>
      <c r="N86" s="73"/>
      <c r="O86" s="237"/>
    </row>
    <row r="87" spans="2:15" ht="15.75" thickBot="1" x14ac:dyDescent="0.3">
      <c r="B87" s="262"/>
      <c r="C87" s="190"/>
      <c r="D87" s="261" t="s">
        <v>498</v>
      </c>
      <c r="E87" s="267"/>
      <c r="F87" s="73"/>
      <c r="G87" s="130"/>
      <c r="H87" s="73"/>
      <c r="I87" s="212"/>
      <c r="J87" s="73"/>
      <c r="K87" s="142">
        <f t="shared" si="8"/>
        <v>0</v>
      </c>
      <c r="L87" s="147"/>
      <c r="M87" s="144">
        <f t="shared" si="9"/>
        <v>0</v>
      </c>
      <c r="N87" s="73"/>
      <c r="O87" s="237"/>
    </row>
    <row r="88" spans="2:15" ht="15.75" thickBot="1" x14ac:dyDescent="0.3">
      <c r="B88" s="262"/>
      <c r="C88" s="190"/>
      <c r="D88" s="261" t="s">
        <v>498</v>
      </c>
      <c r="E88" s="267"/>
      <c r="F88" s="73"/>
      <c r="G88" s="130"/>
      <c r="H88" s="73"/>
      <c r="I88" s="212"/>
      <c r="J88" s="73"/>
      <c r="K88" s="142">
        <f t="shared" si="8"/>
        <v>0</v>
      </c>
      <c r="L88" s="147"/>
      <c r="M88" s="144">
        <f t="shared" si="9"/>
        <v>0</v>
      </c>
      <c r="N88" s="73"/>
      <c r="O88" s="237"/>
    </row>
    <row r="89" spans="2:15" ht="15.75" thickBot="1" x14ac:dyDescent="0.3"/>
    <row r="90" spans="2:15" ht="15.75" thickBot="1" x14ac:dyDescent="0.3">
      <c r="C90" s="6"/>
      <c r="E90" s="185"/>
      <c r="G90" s="83"/>
      <c r="I90" s="258" t="s">
        <v>585</v>
      </c>
      <c r="J90" s="3"/>
      <c r="K90" s="3"/>
      <c r="L90" s="238"/>
      <c r="M90" s="152">
        <f>SUM($M$79:$M$88)</f>
        <v>0</v>
      </c>
    </row>
    <row r="91" spans="2:15" x14ac:dyDescent="0.25">
      <c r="C91" s="174"/>
      <c r="D91" s="159"/>
      <c r="E91" s="160"/>
      <c r="G91" s="83"/>
      <c r="I91" s="83"/>
      <c r="K91" s="108"/>
      <c r="M91" s="108"/>
    </row>
    <row r="92" spans="2:15" x14ac:dyDescent="0.25"/>
    <row r="93" spans="2:15" ht="15.75" thickBot="1" x14ac:dyDescent="0.3">
      <c r="C93" s="6"/>
      <c r="E93" s="84"/>
      <c r="G93" s="83"/>
      <c r="I93" s="83"/>
      <c r="K93" s="108"/>
      <c r="M93" s="109"/>
    </row>
    <row r="94" spans="2:15" ht="15.75" thickBot="1" x14ac:dyDescent="0.3">
      <c r="C94" s="6"/>
      <c r="E94" s="84"/>
      <c r="G94" s="107"/>
      <c r="I94" s="83"/>
      <c r="K94" s="71" t="s">
        <v>417</v>
      </c>
      <c r="L94" s="58"/>
      <c r="M94" s="152">
        <f>+$M$30+$M$45+$M$60+$M$75+$M$90</f>
        <v>0</v>
      </c>
    </row>
    <row r="95" spans="2:15" x14ac:dyDescent="0.25">
      <c r="B95" s="68" t="s">
        <v>416</v>
      </c>
      <c r="C95" s="69"/>
      <c r="D95" s="49"/>
      <c r="E95" s="63"/>
      <c r="G95" s="64"/>
      <c r="I95" s="64"/>
      <c r="K95" s="65"/>
      <c r="M95" s="72"/>
    </row>
    <row r="96" spans="2:15" ht="15.75" thickBot="1" x14ac:dyDescent="0.3">
      <c r="B96" s="53"/>
      <c r="C96" s="6"/>
      <c r="D96" s="54"/>
      <c r="E96" s="63"/>
      <c r="I96" s="64"/>
      <c r="K96" s="65"/>
    </row>
    <row r="97" spans="2:5" ht="15.75" thickBot="1" x14ac:dyDescent="0.3">
      <c r="B97" s="70" t="str">
        <f>IF($M$94&lt;=0,Datasheet!$L$11,Datasheet!$L$12)</f>
        <v>Totale besparing CO2/jaar</v>
      </c>
      <c r="C97" s="153">
        <f>-M94</f>
        <v>0</v>
      </c>
      <c r="D97" s="54" t="s">
        <v>382</v>
      </c>
      <c r="E97" s="63"/>
    </row>
    <row r="98" spans="2:5" ht="15.75" thickBot="1" x14ac:dyDescent="0.3">
      <c r="B98" s="50"/>
      <c r="C98" s="154">
        <f>+C97/1000</f>
        <v>0</v>
      </c>
      <c r="D98" s="52" t="s">
        <v>420</v>
      </c>
      <c r="E98" s="63"/>
    </row>
    <row r="99" spans="2:5" ht="15.75" thickBot="1" x14ac:dyDescent="0.3">
      <c r="C99" s="6"/>
      <c r="E99" s="63"/>
    </row>
    <row r="100" spans="2:5" ht="30.75" thickBot="1" x14ac:dyDescent="0.3">
      <c r="B100" s="183" t="str">
        <f>IF($M$94&lt;=0,Datasheet!$L$27,Datasheet!$L$29)</f>
        <v>Totale CO2 besparing over de opgegeven periode van 0 jaar</v>
      </c>
      <c r="C100" s="182">
        <f>IF($C$3&gt;Datasheet!$H$4,+C98*Datasheet!$H$4,$C$98*$C$3)</f>
        <v>0</v>
      </c>
      <c r="D100" s="100" t="s">
        <v>420</v>
      </c>
    </row>
    <row r="101" spans="2:5" ht="15.75" thickBot="1" x14ac:dyDescent="0.3">
      <c r="B101" s="189" t="str">
        <f>IF($C$3&lt;=0,"Vul de levensduur in boven aan het blad!","")</f>
        <v>Vul de levensduur in boven aan het blad!</v>
      </c>
      <c r="C101" s="6"/>
    </row>
    <row r="102" spans="2:5" ht="15.75" thickBot="1" x14ac:dyDescent="0.3">
      <c r="B102" s="59" t="s">
        <v>421</v>
      </c>
      <c r="C102" s="111"/>
      <c r="D102" s="110" t="s">
        <v>422</v>
      </c>
    </row>
    <row r="103" spans="2:5" ht="30.75" thickBot="1" x14ac:dyDescent="0.3">
      <c r="B103" s="50" t="s">
        <v>437</v>
      </c>
      <c r="C103" s="155">
        <f>IFERROR(+C102/C100,0)</f>
        <v>0</v>
      </c>
      <c r="D103" s="112" t="s">
        <v>423</v>
      </c>
    </row>
    <row r="104" spans="2:5" x14ac:dyDescent="0.25">
      <c r="B104" s="156"/>
    </row>
    <row r="105" spans="2:5" x14ac:dyDescent="0.25"/>
    <row r="106" spans="2:5" ht="15.75" thickBot="1" x14ac:dyDescent="0.3"/>
    <row r="107" spans="2:5" x14ac:dyDescent="0.25">
      <c r="B107" s="113" t="s">
        <v>397</v>
      </c>
      <c r="C107" s="6"/>
    </row>
    <row r="108" spans="2:5" ht="15.75" thickBot="1" x14ac:dyDescent="0.3">
      <c r="B108" s="114" t="str">
        <f>'Energie , overige thema''s'!B51</f>
        <v>Versie D 1.6 -  20 januari 2025</v>
      </c>
      <c r="C108" s="6"/>
    </row>
    <row r="109" spans="2:5" x14ac:dyDescent="0.25">
      <c r="C109" s="6"/>
    </row>
    <row r="110" spans="2:5" x14ac:dyDescent="0.25">
      <c r="C110" s="6"/>
    </row>
    <row r="111" spans="2:5" x14ac:dyDescent="0.25"/>
    <row r="112" spans="2:5" x14ac:dyDescent="0.25"/>
    <row r="113" x14ac:dyDescent="0.25"/>
    <row r="114" x14ac:dyDescent="0.25"/>
  </sheetData>
  <sheetProtection algorithmName="SHA-512" hashValue="V2dYy8vCK54bECbAtWglDn70xCpej+2J4kabf98M2c97gUd3pxqfiMyC01crOGzncF7d4FuP8TsVWzd9o5rMoA==" saltValue="r/DR3NTgYPqL6bDlJu+xRA==" spinCount="100000" sheet="1" objects="1" scenarios="1"/>
  <dataConsolidate/>
  <conditionalFormatting sqref="C97:C98">
    <cfRule type="cellIs" dxfId="27" priority="39" operator="lessThan">
      <formula>0</formula>
    </cfRule>
    <cfRule type="cellIs" dxfId="26" priority="40" operator="greaterThan">
      <formula>0</formula>
    </cfRule>
  </conditionalFormatting>
  <conditionalFormatting sqref="C100">
    <cfRule type="cellIs" dxfId="25" priority="51" operator="lessThan">
      <formula>0</formula>
    </cfRule>
    <cfRule type="cellIs" dxfId="24" priority="52" operator="greaterThan">
      <formula>0</formula>
    </cfRule>
  </conditionalFormatting>
  <conditionalFormatting sqref="M15:M17">
    <cfRule type="cellIs" dxfId="23" priority="49" operator="greaterThan">
      <formula>0</formula>
    </cfRule>
    <cfRule type="cellIs" dxfId="22" priority="50" operator="lessThan">
      <formula>0</formula>
    </cfRule>
  </conditionalFormatting>
  <conditionalFormatting sqref="M19">
    <cfRule type="cellIs" dxfId="21" priority="47" operator="greaterThan">
      <formula>0</formula>
    </cfRule>
    <cfRule type="cellIs" dxfId="20" priority="48" operator="lessThan">
      <formula>0</formula>
    </cfRule>
  </conditionalFormatting>
  <conditionalFormatting sqref="M21">
    <cfRule type="cellIs" dxfId="19" priority="45" operator="greaterThan">
      <formula>0</formula>
    </cfRule>
    <cfRule type="cellIs" dxfId="18" priority="46" operator="lessThan">
      <formula>0</formula>
    </cfRule>
  </conditionalFormatting>
  <conditionalFormatting sqref="M23">
    <cfRule type="cellIs" dxfId="17" priority="43" operator="greaterThan">
      <formula>0</formula>
    </cfRule>
    <cfRule type="cellIs" dxfId="16" priority="44" operator="lessThan">
      <formula>0</formula>
    </cfRule>
  </conditionalFormatting>
  <conditionalFormatting sqref="M25:M30">
    <cfRule type="cellIs" dxfId="15" priority="17" operator="greaterThan">
      <formula>0</formula>
    </cfRule>
    <cfRule type="cellIs" dxfId="14" priority="18" operator="lessThan">
      <formula>0</formula>
    </cfRule>
  </conditionalFormatting>
  <conditionalFormatting sqref="M34:M43">
    <cfRule type="cellIs" dxfId="13" priority="7" operator="greaterThan">
      <formula>0</formula>
    </cfRule>
    <cfRule type="cellIs" dxfId="12" priority="8" operator="lessThan">
      <formula>0</formula>
    </cfRule>
  </conditionalFormatting>
  <conditionalFormatting sqref="M45">
    <cfRule type="cellIs" dxfId="11" priority="15" operator="greaterThan">
      <formula>0</formula>
    </cfRule>
    <cfRule type="cellIs" dxfId="10" priority="16" operator="lessThan">
      <formula>0</formula>
    </cfRule>
  </conditionalFormatting>
  <conditionalFormatting sqref="M49:M58">
    <cfRule type="cellIs" dxfId="9" priority="5" operator="greaterThan">
      <formula>0</formula>
    </cfRule>
    <cfRule type="cellIs" dxfId="8" priority="6" operator="lessThan">
      <formula>0</formula>
    </cfRule>
  </conditionalFormatting>
  <conditionalFormatting sqref="M60">
    <cfRule type="cellIs" dxfId="7" priority="13" operator="greaterThan">
      <formula>0</formula>
    </cfRule>
    <cfRule type="cellIs" dxfId="6" priority="14" operator="lessThan">
      <formula>0</formula>
    </cfRule>
  </conditionalFormatting>
  <conditionalFormatting sqref="M64:M75">
    <cfRule type="cellIs" dxfId="5" priority="3" operator="greaterThan">
      <formula>0</formula>
    </cfRule>
    <cfRule type="cellIs" dxfId="4" priority="4" operator="lessThan">
      <formula>0</formula>
    </cfRule>
  </conditionalFormatting>
  <conditionalFormatting sqref="M79:M88">
    <cfRule type="cellIs" dxfId="3" priority="1" operator="greaterThan">
      <formula>0</formula>
    </cfRule>
    <cfRule type="cellIs" dxfId="2" priority="2" operator="lessThan">
      <formula>0</formula>
    </cfRule>
  </conditionalFormatting>
  <conditionalFormatting sqref="M90:M91">
    <cfRule type="cellIs" dxfId="1" priority="9" operator="greaterThan">
      <formula>0</formula>
    </cfRule>
    <cfRule type="cellIs" dxfId="0" priority="10" operator="lessThan">
      <formula>0</formula>
    </cfRule>
  </conditionalFormatting>
  <pageMargins left="0.7" right="0.7" top="0.75" bottom="0.75" header="0.3" footer="0.3"/>
  <pageSetup paperSize="9" scale="2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20A9DCA1-719F-4905-8363-132DB6E1B368}">
          <x14:formula1>
            <xm:f>Datasheet!$G$37:$G$41</xm:f>
          </x14:formula1>
          <xm:sqref>C19</xm:sqref>
        </x14:dataValidation>
        <x14:dataValidation type="list" allowBlank="1" showInputMessage="1" showErrorMessage="1" xr:uid="{932D3CEE-9201-46AD-8D7A-D82F0D4F98D1}">
          <x14:formula1>
            <xm:f>Datasheet!$A$7:$A$36</xm:f>
          </x14:formula1>
          <xm:sqref>C21 C23</xm:sqref>
        </x14:dataValidation>
        <x14:dataValidation type="list" allowBlank="1" showInputMessage="1" showErrorMessage="1" xr:uid="{CD845897-1155-47F5-9F92-DBFF57474319}">
          <x14:formula1>
            <xm:f>Datasheet!$G$14:$G$27</xm:f>
          </x14:formula1>
          <xm:sqref>C15:C17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BA666-21F0-480F-8636-85169C7DA187}">
  <sheetPr>
    <tabColor theme="7" tint="0.59999389629810485"/>
  </sheetPr>
  <dimension ref="A1:D13"/>
  <sheetViews>
    <sheetView showGridLines="0" workbookViewId="0">
      <selection activeCell="C8" sqref="C8"/>
    </sheetView>
  </sheetViews>
  <sheetFormatPr defaultColWidth="0" defaultRowHeight="15" zeroHeight="1" x14ac:dyDescent="0.25"/>
  <cols>
    <col min="1" max="1" width="29.28515625" customWidth="1"/>
    <col min="2" max="2" width="57.5703125" customWidth="1"/>
    <col min="3" max="3" width="75.140625" customWidth="1"/>
    <col min="4" max="4" width="0" hidden="1" customWidth="1"/>
    <col min="5" max="16384" width="9.140625" hidden="1"/>
  </cols>
  <sheetData>
    <row r="1" spans="1:3" ht="15.75" thickBot="1" x14ac:dyDescent="0.3">
      <c r="A1" s="242" t="s">
        <v>557</v>
      </c>
      <c r="B1" s="243" t="s">
        <v>558</v>
      </c>
      <c r="C1" s="244" t="s">
        <v>13</v>
      </c>
    </row>
    <row r="2" spans="1:3" ht="45" x14ac:dyDescent="0.25">
      <c r="A2" s="245" t="s">
        <v>559</v>
      </c>
      <c r="B2" s="246" t="s">
        <v>560</v>
      </c>
      <c r="C2" s="247" t="s">
        <v>561</v>
      </c>
    </row>
    <row r="3" spans="1:3" ht="45" customHeight="1" x14ac:dyDescent="0.25">
      <c r="A3" s="248" t="s">
        <v>559</v>
      </c>
      <c r="B3" s="249" t="s">
        <v>562</v>
      </c>
      <c r="C3" s="250" t="s">
        <v>563</v>
      </c>
    </row>
    <row r="4" spans="1:3" x14ac:dyDescent="0.25">
      <c r="A4" s="251" t="s">
        <v>564</v>
      </c>
      <c r="B4" s="249" t="s">
        <v>565</v>
      </c>
      <c r="C4" s="250" t="s">
        <v>566</v>
      </c>
    </row>
    <row r="5" spans="1:3" x14ac:dyDescent="0.25">
      <c r="A5" s="251" t="s">
        <v>564</v>
      </c>
      <c r="B5" s="249" t="s">
        <v>567</v>
      </c>
      <c r="C5" s="250" t="s">
        <v>568</v>
      </c>
    </row>
    <row r="6" spans="1:3" ht="30" x14ac:dyDescent="0.25">
      <c r="A6" s="251" t="s">
        <v>569</v>
      </c>
      <c r="B6" s="249" t="s">
        <v>570</v>
      </c>
      <c r="C6" s="250" t="s">
        <v>571</v>
      </c>
    </row>
    <row r="7" spans="1:3" ht="30" x14ac:dyDescent="0.25">
      <c r="A7" s="251" t="s">
        <v>569</v>
      </c>
      <c r="B7" s="249" t="s">
        <v>572</v>
      </c>
      <c r="C7" s="250" t="s">
        <v>571</v>
      </c>
    </row>
    <row r="8" spans="1:3" ht="45" x14ac:dyDescent="0.25">
      <c r="A8" s="251" t="s">
        <v>569</v>
      </c>
      <c r="B8" s="249" t="s">
        <v>573</v>
      </c>
      <c r="C8" s="250" t="s">
        <v>574</v>
      </c>
    </row>
    <row r="9" spans="1:3" x14ac:dyDescent="0.25">
      <c r="A9" s="251" t="s">
        <v>575</v>
      </c>
      <c r="B9" s="249" t="s">
        <v>576</v>
      </c>
      <c r="C9" s="250" t="s">
        <v>577</v>
      </c>
    </row>
    <row r="10" spans="1:3" x14ac:dyDescent="0.25">
      <c r="A10" s="251" t="s">
        <v>575</v>
      </c>
      <c r="B10" s="249" t="s">
        <v>576</v>
      </c>
      <c r="C10" s="250" t="s">
        <v>578</v>
      </c>
    </row>
    <row r="11" spans="1:3" x14ac:dyDescent="0.25">
      <c r="A11" s="251" t="s">
        <v>564</v>
      </c>
      <c r="B11" s="249" t="s">
        <v>579</v>
      </c>
      <c r="C11" s="250" t="s">
        <v>580</v>
      </c>
    </row>
    <row r="12" spans="1:3" ht="15.75" thickBot="1" x14ac:dyDescent="0.3">
      <c r="A12" s="252" t="s">
        <v>564</v>
      </c>
      <c r="B12" s="253" t="s">
        <v>581</v>
      </c>
      <c r="C12" s="254" t="s">
        <v>582</v>
      </c>
    </row>
    <row r="13" spans="1:3" hidden="1" x14ac:dyDescent="0.25">
      <c r="C13" s="6"/>
    </row>
  </sheetData>
  <sheetProtection algorithmName="SHA-512" hashValue="X4NPUipHEbdslT6Y0FTSV//FlR6Q2ZkzH7NY6MmRX0qCpooCucPtx/rIeBYWywm8hzaVHdLQ+GiScqyneDALqQ==" saltValue="Ik/zqS5017qNcfxKWouAvg==" spinCount="100000" sheet="1" objects="1" scenarios="1"/>
  <hyperlinks>
    <hyperlink ref="B10" r:id="rId1" xr:uid="{AF2B8AFB-76E3-446F-92F2-DAF9B1FFBCA1}"/>
    <hyperlink ref="B9" r:id="rId2" xr:uid="{41D89EC9-A3EF-4121-A7CE-6F5A1F4B0BB5}"/>
    <hyperlink ref="B12" r:id="rId3" xr:uid="{8572E29F-1372-4749-B605-B57B4B692D1C}"/>
    <hyperlink ref="B6" r:id="rId4" xr:uid="{026352E1-AC1E-422F-AB74-12666A9C03BC}"/>
    <hyperlink ref="B11" r:id="rId5" xr:uid="{17450FCA-B97D-4CD8-854C-D419144E94DD}"/>
    <hyperlink ref="B4" r:id="rId6" xr:uid="{AB84777B-4828-4E0D-BB71-E265B7CC76DB}"/>
    <hyperlink ref="B7" r:id="rId7" display="https://www.eco-platform.org/epd-data.html" xr:uid="{126F362E-71EF-4FD3-A530-00D1FE73F55D}"/>
    <hyperlink ref="B8" r:id="rId8" display="https://www.environdec.com/library" xr:uid="{AB6A7997-1650-401F-8B23-807A2B2B68D6}"/>
    <hyperlink ref="B5" r:id="rId9" display="https://publications.jrc.ec.europa.eu/repository/handle/JRC134682" xr:uid="{3713F671-8C89-4180-AC16-D7CC90F499AC}"/>
    <hyperlink ref="B3" r:id="rId10" display="https://footprintcalc.org/" xr:uid="{D7C64A0D-A972-45D8-9B97-3F36498717B0}"/>
    <hyperlink ref="B2" r:id="rId11" display="https://www.ecocostsvalue.com/data-tools-books/tool-in-excel/" xr:uid="{4942ECFF-D36F-4868-AD37-B17F36BFC55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DADD-B352-4098-A9A4-BAE01A8CADEA}">
  <sheetPr codeName="Blad5"/>
  <dimension ref="A1:T191"/>
  <sheetViews>
    <sheetView topLeftCell="A2" zoomScale="115" zoomScaleNormal="115" workbookViewId="0">
      <selection activeCell="V61" sqref="V61"/>
    </sheetView>
  </sheetViews>
  <sheetFormatPr defaultColWidth="10" defaultRowHeight="11.25" x14ac:dyDescent="0.15"/>
  <cols>
    <col min="1" max="1" width="24" style="46" customWidth="1"/>
    <col min="2" max="2" width="10" style="24"/>
    <col min="3" max="3" width="16.5703125" style="24" customWidth="1"/>
    <col min="4" max="4" width="10.85546875" style="24" customWidth="1"/>
    <col min="5" max="7" width="10" style="24"/>
    <col min="8" max="8" width="10" style="43"/>
    <col min="9" max="9" width="73.42578125" style="43" customWidth="1"/>
    <col min="10" max="10" width="10" style="24"/>
    <col min="11" max="11" width="1.85546875" style="24" customWidth="1"/>
    <col min="12" max="13" width="10" style="24"/>
    <col min="14" max="14" width="32" style="24" customWidth="1"/>
    <col min="15" max="16384" width="10" style="24"/>
  </cols>
  <sheetData>
    <row r="1" spans="1:19" customFormat="1" ht="15.75" customHeight="1" x14ac:dyDescent="0.25">
      <c r="A1" s="17"/>
      <c r="B1" s="18"/>
      <c r="C1" s="18"/>
      <c r="D1" s="18"/>
      <c r="E1" s="18"/>
      <c r="F1" s="18"/>
      <c r="G1" s="18"/>
      <c r="H1" s="19"/>
      <c r="I1" s="20"/>
      <c r="J1" s="18"/>
    </row>
    <row r="2" spans="1:19" customFormat="1" ht="46.5" x14ac:dyDescent="0.25">
      <c r="A2" s="21" t="s">
        <v>7</v>
      </c>
      <c r="B2" s="21"/>
      <c r="C2" s="21"/>
      <c r="D2" s="21" t="s">
        <v>8</v>
      </c>
      <c r="E2" s="21" t="s">
        <v>9</v>
      </c>
      <c r="F2" s="21" t="s">
        <v>10</v>
      </c>
      <c r="G2" s="21" t="s">
        <v>11</v>
      </c>
      <c r="H2" s="22" t="s">
        <v>12</v>
      </c>
      <c r="I2" s="21" t="s">
        <v>13</v>
      </c>
      <c r="J2" s="21" t="s">
        <v>14</v>
      </c>
    </row>
    <row r="3" spans="1:19" customFormat="1" ht="13.5" customHeight="1" x14ac:dyDescent="0.25">
      <c r="A3" s="307"/>
      <c r="B3" s="308"/>
      <c r="C3" s="308"/>
      <c r="D3" s="308"/>
      <c r="E3" s="308"/>
      <c r="F3" s="308"/>
      <c r="G3" s="308"/>
      <c r="H3" s="308"/>
      <c r="I3" s="308"/>
      <c r="J3" s="309"/>
    </row>
    <row r="4" spans="1:19" s="23" customFormat="1" ht="150" customHeight="1" x14ac:dyDescent="0.25">
      <c r="A4" s="310" t="s">
        <v>15</v>
      </c>
      <c r="B4" s="311"/>
      <c r="C4" s="311"/>
      <c r="D4" s="311"/>
      <c r="E4" s="311"/>
      <c r="F4" s="311"/>
      <c r="G4" s="311"/>
      <c r="H4" s="311"/>
      <c r="I4" s="311"/>
      <c r="J4" s="312"/>
    </row>
    <row r="5" spans="1:19" ht="22.5" customHeight="1" x14ac:dyDescent="0.15">
      <c r="A5" s="313" t="s">
        <v>16</v>
      </c>
      <c r="B5" s="314"/>
      <c r="C5" s="314"/>
      <c r="D5" s="314"/>
      <c r="E5" s="314"/>
      <c r="F5" s="314"/>
      <c r="G5" s="314"/>
      <c r="H5" s="314"/>
      <c r="I5" s="314"/>
      <c r="J5" s="315"/>
    </row>
    <row r="6" spans="1:19" ht="30" x14ac:dyDescent="0.25">
      <c r="A6" s="25"/>
      <c r="B6" s="26" t="s">
        <v>17</v>
      </c>
      <c r="C6" s="26"/>
      <c r="D6" s="26" t="s">
        <v>18</v>
      </c>
      <c r="E6" s="3">
        <v>2.7839999999999998</v>
      </c>
      <c r="F6" s="27">
        <v>2.141</v>
      </c>
      <c r="G6" s="26">
        <v>0.64300000000000002</v>
      </c>
      <c r="H6" s="26" t="s">
        <v>19</v>
      </c>
      <c r="I6" s="28" t="s">
        <v>20</v>
      </c>
      <c r="J6" s="3" t="s">
        <v>21</v>
      </c>
      <c r="M6"/>
      <c r="N6"/>
      <c r="O6" s="26" t="s">
        <v>17</v>
      </c>
      <c r="P6" s="26" t="s">
        <v>18</v>
      </c>
      <c r="Q6" s="3">
        <v>2.7839999999999998</v>
      </c>
      <c r="R6" s="27">
        <v>2.141</v>
      </c>
      <c r="S6" s="26">
        <v>0.64300000000000002</v>
      </c>
    </row>
    <row r="7" spans="1:19" ht="30" x14ac:dyDescent="0.25">
      <c r="A7" s="25"/>
      <c r="B7" s="26" t="s">
        <v>22</v>
      </c>
      <c r="C7" s="26"/>
      <c r="D7" s="26" t="s">
        <v>18</v>
      </c>
      <c r="E7" s="3">
        <v>2.8839999999999999</v>
      </c>
      <c r="F7" s="27">
        <v>2.2330000000000001</v>
      </c>
      <c r="G7" s="26">
        <v>0.65100000000000002</v>
      </c>
      <c r="H7" s="26" t="s">
        <v>19</v>
      </c>
      <c r="I7" s="28" t="s">
        <v>23</v>
      </c>
      <c r="J7" s="3" t="s">
        <v>21</v>
      </c>
      <c r="M7"/>
      <c r="N7"/>
      <c r="O7" s="26" t="s">
        <v>26</v>
      </c>
      <c r="P7" s="26" t="s">
        <v>18</v>
      </c>
      <c r="Q7" s="3">
        <v>0.55800000000000005</v>
      </c>
      <c r="R7" s="27">
        <v>1.4E-2</v>
      </c>
      <c r="S7" s="26">
        <v>0.54300000000000004</v>
      </c>
    </row>
    <row r="8" spans="1:19" ht="11.25" customHeight="1" x14ac:dyDescent="0.25">
      <c r="A8" s="25"/>
      <c r="B8" s="26" t="s">
        <v>24</v>
      </c>
      <c r="C8" s="26"/>
      <c r="D8" s="26" t="s">
        <v>18</v>
      </c>
      <c r="E8" s="3">
        <v>3.032</v>
      </c>
      <c r="F8" s="27">
        <v>2.3769999999999998</v>
      </c>
      <c r="G8" s="26">
        <v>0.65500000000000003</v>
      </c>
      <c r="H8" s="26" t="s">
        <v>19</v>
      </c>
      <c r="I8" s="28" t="s">
        <v>25</v>
      </c>
      <c r="J8" s="3" t="s">
        <v>21</v>
      </c>
      <c r="M8"/>
      <c r="N8"/>
      <c r="O8" s="26"/>
      <c r="P8" s="26"/>
      <c r="Q8" s="3"/>
      <c r="R8" s="27"/>
      <c r="S8" s="26"/>
    </row>
    <row r="9" spans="1:19" ht="102" customHeight="1" x14ac:dyDescent="0.25">
      <c r="A9" s="25"/>
      <c r="B9" s="26" t="s">
        <v>26</v>
      </c>
      <c r="C9" s="26"/>
      <c r="D9" s="26" t="s">
        <v>18</v>
      </c>
      <c r="E9" s="3">
        <v>0.55800000000000005</v>
      </c>
      <c r="F9" s="27">
        <v>1.4E-2</v>
      </c>
      <c r="G9" s="26">
        <v>0.54300000000000004</v>
      </c>
      <c r="H9" s="26" t="s">
        <v>19</v>
      </c>
      <c r="I9" s="28" t="s">
        <v>27</v>
      </c>
      <c r="J9" s="3" t="s">
        <v>21</v>
      </c>
      <c r="M9"/>
      <c r="N9"/>
      <c r="O9" s="26" t="s">
        <v>29</v>
      </c>
      <c r="P9" s="26" t="s">
        <v>18</v>
      </c>
      <c r="Q9" s="3">
        <v>3.262</v>
      </c>
      <c r="R9" s="27">
        <v>2.4740000000000002</v>
      </c>
      <c r="S9" s="26">
        <v>0.78800000000000003</v>
      </c>
    </row>
    <row r="10" spans="1:19" ht="102" customHeight="1" x14ac:dyDescent="0.25">
      <c r="A10" s="25"/>
      <c r="B10" s="26"/>
      <c r="C10" s="26"/>
      <c r="D10" s="26"/>
      <c r="E10" s="3">
        <v>0.876</v>
      </c>
      <c r="F10" s="27">
        <v>0.36899999999999999</v>
      </c>
      <c r="G10" s="26">
        <v>0.50700000000000001</v>
      </c>
      <c r="H10" s="26"/>
      <c r="I10" s="28" t="s">
        <v>28</v>
      </c>
      <c r="J10" s="3"/>
      <c r="M10"/>
      <c r="N10"/>
      <c r="O10" s="26" t="s">
        <v>34</v>
      </c>
      <c r="P10" s="26" t="s">
        <v>18</v>
      </c>
      <c r="Q10" s="3">
        <v>0.314</v>
      </c>
      <c r="R10" s="27">
        <v>3.7999999999999999E-2</v>
      </c>
      <c r="S10" s="26">
        <v>0.27600000000000002</v>
      </c>
    </row>
    <row r="11" spans="1:19" ht="30" x14ac:dyDescent="0.25">
      <c r="A11" s="25"/>
      <c r="B11" s="26" t="s">
        <v>29</v>
      </c>
      <c r="C11" s="26"/>
      <c r="D11" s="26" t="s">
        <v>18</v>
      </c>
      <c r="E11" s="3">
        <v>3.262</v>
      </c>
      <c r="F11" s="27">
        <v>2.4740000000000002</v>
      </c>
      <c r="G11" s="26">
        <v>0.78800000000000003</v>
      </c>
      <c r="H11" s="26" t="s">
        <v>19</v>
      </c>
      <c r="I11" s="28" t="s">
        <v>30</v>
      </c>
      <c r="J11" s="3" t="s">
        <v>21</v>
      </c>
      <c r="M11"/>
      <c r="N11"/>
      <c r="O11" s="26" t="s">
        <v>37</v>
      </c>
      <c r="P11" s="26" t="s">
        <v>18</v>
      </c>
      <c r="Q11" s="3">
        <v>0.44900000000000001</v>
      </c>
      <c r="R11" s="27">
        <v>3.5000000000000003E-2</v>
      </c>
      <c r="S11" s="26">
        <v>0.41399999999999998</v>
      </c>
    </row>
    <row r="12" spans="1:19" ht="30" x14ac:dyDescent="0.25">
      <c r="A12" s="25"/>
      <c r="B12" s="26" t="s">
        <v>31</v>
      </c>
      <c r="C12" s="26"/>
      <c r="D12" s="26" t="s">
        <v>18</v>
      </c>
      <c r="E12" s="3">
        <v>3.3090000000000002</v>
      </c>
      <c r="F12" s="27">
        <v>2.5139999999999998</v>
      </c>
      <c r="G12" s="26">
        <v>0.79600000000000004</v>
      </c>
      <c r="H12" s="26" t="s">
        <v>19</v>
      </c>
      <c r="I12" s="28" t="s">
        <v>23</v>
      </c>
      <c r="J12" s="3" t="s">
        <v>21</v>
      </c>
      <c r="M12"/>
      <c r="N12"/>
      <c r="O12"/>
      <c r="R12"/>
      <c r="S12"/>
    </row>
    <row r="13" spans="1:19" ht="15" x14ac:dyDescent="0.25">
      <c r="A13" s="25"/>
      <c r="B13" s="26" t="s">
        <v>32</v>
      </c>
      <c r="C13" s="26"/>
      <c r="D13" s="26" t="s">
        <v>18</v>
      </c>
      <c r="E13" s="3">
        <v>3.4729999999999999</v>
      </c>
      <c r="F13" s="27">
        <v>2.657</v>
      </c>
      <c r="G13" s="26">
        <v>0.81599999999999995</v>
      </c>
      <c r="H13" s="26" t="s">
        <v>19</v>
      </c>
      <c r="I13" s="28" t="s">
        <v>33</v>
      </c>
      <c r="J13" s="3" t="s">
        <v>21</v>
      </c>
      <c r="M13"/>
      <c r="N13"/>
      <c r="O13"/>
      <c r="R13"/>
      <c r="S13"/>
    </row>
    <row r="14" spans="1:19" ht="165" x14ac:dyDescent="0.25">
      <c r="A14" s="25"/>
      <c r="B14" s="26" t="s">
        <v>34</v>
      </c>
      <c r="C14" s="26"/>
      <c r="D14" s="26" t="s">
        <v>18</v>
      </c>
      <c r="E14" s="3">
        <v>0.314</v>
      </c>
      <c r="F14" s="27">
        <v>3.7999999999999999E-2</v>
      </c>
      <c r="G14" s="26">
        <v>0.27600000000000002</v>
      </c>
      <c r="H14" s="26" t="s">
        <v>19</v>
      </c>
      <c r="I14" s="28" t="s">
        <v>35</v>
      </c>
      <c r="J14" s="3" t="s">
        <v>36</v>
      </c>
      <c r="M14"/>
      <c r="N14"/>
      <c r="O14"/>
      <c r="R14"/>
      <c r="S14"/>
    </row>
    <row r="15" spans="1:19" ht="90" x14ac:dyDescent="0.25">
      <c r="A15" s="25"/>
      <c r="B15" s="26" t="s">
        <v>37</v>
      </c>
      <c r="C15" s="26"/>
      <c r="D15" s="26" t="s">
        <v>18</v>
      </c>
      <c r="E15" s="3">
        <v>0.44900000000000001</v>
      </c>
      <c r="F15" s="27">
        <v>3.5000000000000003E-2</v>
      </c>
      <c r="G15" s="26">
        <v>0.41399999999999998</v>
      </c>
      <c r="H15" s="26" t="s">
        <v>19</v>
      </c>
      <c r="I15" s="28" t="s">
        <v>38</v>
      </c>
      <c r="J15" s="3" t="s">
        <v>21</v>
      </c>
      <c r="M15"/>
      <c r="N15"/>
      <c r="O15"/>
      <c r="R15"/>
      <c r="S15"/>
    </row>
    <row r="16" spans="1:19" ht="30" x14ac:dyDescent="0.25">
      <c r="A16" s="25"/>
      <c r="B16" s="26" t="s">
        <v>39</v>
      </c>
      <c r="C16" s="26"/>
      <c r="D16" s="26" t="s">
        <v>18</v>
      </c>
      <c r="E16" s="3">
        <v>3.274</v>
      </c>
      <c r="F16" s="27">
        <v>2.4710000000000001</v>
      </c>
      <c r="G16" s="26">
        <v>0.80300000000000005</v>
      </c>
      <c r="H16" s="26" t="s">
        <v>19</v>
      </c>
      <c r="I16" s="28" t="s">
        <v>40</v>
      </c>
      <c r="J16" s="3" t="s">
        <v>21</v>
      </c>
      <c r="M16"/>
      <c r="N16"/>
      <c r="O16"/>
      <c r="R16"/>
      <c r="S16"/>
    </row>
    <row r="17" spans="1:19" ht="11.25" customHeight="1" x14ac:dyDescent="0.25">
      <c r="A17" s="25"/>
      <c r="B17" s="26" t="s">
        <v>41</v>
      </c>
      <c r="C17" s="26"/>
      <c r="D17" s="26" t="s">
        <v>42</v>
      </c>
      <c r="E17" s="3">
        <v>2.633</v>
      </c>
      <c r="F17" s="27">
        <v>2.2839999999999998</v>
      </c>
      <c r="G17" s="26">
        <v>0.35</v>
      </c>
      <c r="H17" s="26" t="s">
        <v>19</v>
      </c>
      <c r="I17" s="28"/>
      <c r="J17" s="3" t="s">
        <v>21</v>
      </c>
      <c r="M17"/>
      <c r="N17"/>
      <c r="O17"/>
      <c r="R17"/>
      <c r="S17"/>
    </row>
    <row r="18" spans="1:19" ht="90" x14ac:dyDescent="0.25">
      <c r="A18" s="25"/>
      <c r="B18" s="26" t="s">
        <v>43</v>
      </c>
      <c r="C18" s="26"/>
      <c r="D18" s="26" t="s">
        <v>42</v>
      </c>
      <c r="E18" s="3">
        <v>1.0489999999999999</v>
      </c>
      <c r="F18" s="27">
        <v>0.13700000000000001</v>
      </c>
      <c r="G18" s="26">
        <v>0.91200000000000003</v>
      </c>
      <c r="H18" s="26" t="s">
        <v>19</v>
      </c>
      <c r="I18" s="28" t="s">
        <v>44</v>
      </c>
      <c r="J18" s="3" t="s">
        <v>21</v>
      </c>
      <c r="M18"/>
      <c r="N18"/>
      <c r="O18"/>
      <c r="R18"/>
      <c r="S18"/>
    </row>
    <row r="19" spans="1:19" ht="60" x14ac:dyDescent="0.25">
      <c r="A19" s="25"/>
      <c r="B19" s="26" t="s">
        <v>45</v>
      </c>
      <c r="C19" s="26"/>
      <c r="D19" s="26" t="s">
        <v>42</v>
      </c>
      <c r="E19" s="3">
        <v>3.6509999999999998</v>
      </c>
      <c r="F19" s="27">
        <v>2.9449999999999998</v>
      </c>
      <c r="G19" s="26">
        <v>0.70599999999999996</v>
      </c>
      <c r="H19" s="26" t="s">
        <v>19</v>
      </c>
      <c r="I19" s="28" t="s">
        <v>46</v>
      </c>
      <c r="J19" s="3" t="s">
        <v>21</v>
      </c>
      <c r="M19"/>
      <c r="N19"/>
      <c r="O19"/>
      <c r="R19"/>
      <c r="S19"/>
    </row>
    <row r="20" spans="1:19" ht="150" x14ac:dyDescent="0.25">
      <c r="A20" s="25"/>
      <c r="B20" s="26" t="s">
        <v>47</v>
      </c>
      <c r="C20" s="26"/>
      <c r="D20" s="26" t="s">
        <v>42</v>
      </c>
      <c r="E20" s="3">
        <v>1.431</v>
      </c>
      <c r="F20" s="27">
        <v>0.17599999999999999</v>
      </c>
      <c r="G20" s="26">
        <v>1.254</v>
      </c>
      <c r="H20" s="26" t="s">
        <v>19</v>
      </c>
      <c r="I20" s="28" t="s">
        <v>48</v>
      </c>
      <c r="J20" s="3" t="s">
        <v>21</v>
      </c>
      <c r="M20"/>
      <c r="N20"/>
      <c r="O20"/>
      <c r="R20"/>
      <c r="S20"/>
    </row>
    <row r="21" spans="1:19" ht="15" x14ac:dyDescent="0.25">
      <c r="A21" s="25"/>
      <c r="B21" s="26" t="s">
        <v>49</v>
      </c>
      <c r="C21" s="26"/>
      <c r="D21" s="26" t="s">
        <v>18</v>
      </c>
      <c r="E21" s="3">
        <v>1.798</v>
      </c>
      <c r="F21" s="27">
        <v>1.631</v>
      </c>
      <c r="G21" s="26">
        <v>0.16700000000000001</v>
      </c>
      <c r="H21" s="26" t="s">
        <v>19</v>
      </c>
      <c r="I21" s="28"/>
      <c r="J21" s="3" t="s">
        <v>21</v>
      </c>
      <c r="M21"/>
      <c r="N21"/>
      <c r="O21"/>
      <c r="R21"/>
      <c r="S21"/>
    </row>
    <row r="22" spans="1:19" ht="90" x14ac:dyDescent="0.25">
      <c r="A22" s="25"/>
      <c r="B22" s="26" t="s">
        <v>50</v>
      </c>
      <c r="C22" s="26"/>
      <c r="D22" s="26" t="s">
        <v>42</v>
      </c>
      <c r="E22" s="3">
        <v>12.516</v>
      </c>
      <c r="F22" s="27">
        <v>0</v>
      </c>
      <c r="G22" s="26">
        <v>12.516</v>
      </c>
      <c r="H22" s="26" t="s">
        <v>19</v>
      </c>
      <c r="I22" s="28" t="s">
        <v>51</v>
      </c>
      <c r="J22" s="3" t="s">
        <v>21</v>
      </c>
      <c r="M22"/>
      <c r="N22" t="s">
        <v>43</v>
      </c>
      <c r="O22"/>
      <c r="P22" s="24" t="s">
        <v>42</v>
      </c>
      <c r="Q22" s="24">
        <v>1.0489999999999999</v>
      </c>
      <c r="R22">
        <v>0.13700000000000001</v>
      </c>
      <c r="S22">
        <v>0.91200000000000003</v>
      </c>
    </row>
    <row r="23" spans="1:19" ht="90" x14ac:dyDescent="0.25">
      <c r="A23" s="25"/>
      <c r="B23" s="26" t="s">
        <v>52</v>
      </c>
      <c r="C23" s="26"/>
      <c r="D23" s="26" t="s">
        <v>42</v>
      </c>
      <c r="E23" s="3">
        <v>1.0920000000000001</v>
      </c>
      <c r="F23" s="27">
        <v>0</v>
      </c>
      <c r="G23" s="26">
        <v>1.0920000000000001</v>
      </c>
      <c r="H23" s="26" t="s">
        <v>19</v>
      </c>
      <c r="I23" s="28" t="s">
        <v>51</v>
      </c>
      <c r="J23" s="3" t="s">
        <v>21</v>
      </c>
      <c r="M23"/>
      <c r="N23" t="s">
        <v>45</v>
      </c>
      <c r="O23"/>
      <c r="P23" s="24" t="s">
        <v>42</v>
      </c>
      <c r="Q23" s="24">
        <v>3.6509999999999998</v>
      </c>
      <c r="R23">
        <v>2.9449999999999998</v>
      </c>
      <c r="S23">
        <v>0.70599999999999996</v>
      </c>
    </row>
    <row r="24" spans="1:19" ht="75" x14ac:dyDescent="0.25">
      <c r="A24" s="25"/>
      <c r="B24" s="26" t="s">
        <v>53</v>
      </c>
      <c r="C24" s="26"/>
      <c r="D24" s="26" t="s">
        <v>18</v>
      </c>
      <c r="E24" s="3">
        <v>3.4359999999999999</v>
      </c>
      <c r="F24" s="27">
        <v>2.7189999999999999</v>
      </c>
      <c r="G24" s="26">
        <v>0.71699999999999997</v>
      </c>
      <c r="H24" s="26" t="s">
        <v>19</v>
      </c>
      <c r="I24" s="28" t="s">
        <v>54</v>
      </c>
      <c r="J24" s="3" t="s">
        <v>21</v>
      </c>
      <c r="M24"/>
      <c r="N24" t="s">
        <v>47</v>
      </c>
      <c r="O24"/>
      <c r="P24" s="24" t="s">
        <v>42</v>
      </c>
      <c r="Q24" s="24">
        <v>1.431</v>
      </c>
      <c r="R24">
        <v>0.17599999999999999</v>
      </c>
      <c r="S24">
        <v>1.254</v>
      </c>
    </row>
    <row r="25" spans="1:19" ht="45" x14ac:dyDescent="0.25">
      <c r="A25" s="25"/>
      <c r="B25" s="26" t="s">
        <v>55</v>
      </c>
      <c r="C25" s="26"/>
      <c r="D25" s="26" t="s">
        <v>18</v>
      </c>
      <c r="E25" s="3">
        <v>3.762</v>
      </c>
      <c r="F25" s="27">
        <v>3.11</v>
      </c>
      <c r="G25" s="26">
        <v>0.65200000000000002</v>
      </c>
      <c r="H25" s="26" t="s">
        <v>19</v>
      </c>
      <c r="I25" s="28" t="s">
        <v>56</v>
      </c>
      <c r="J25" s="3" t="s">
        <v>21</v>
      </c>
      <c r="M25"/>
      <c r="N25" t="s">
        <v>49</v>
      </c>
      <c r="O25"/>
      <c r="P25" s="24" t="s">
        <v>18</v>
      </c>
      <c r="Q25" s="24">
        <v>1.798</v>
      </c>
      <c r="R25">
        <v>1.631</v>
      </c>
      <c r="S25" s="6">
        <v>0.16700000000000001</v>
      </c>
    </row>
    <row r="26" spans="1:19" ht="11.25" customHeight="1" x14ac:dyDescent="0.25">
      <c r="A26" s="25"/>
      <c r="B26" s="26" t="s">
        <v>57</v>
      </c>
      <c r="C26" s="26"/>
      <c r="D26" s="26" t="s">
        <v>18</v>
      </c>
      <c r="E26" s="3">
        <v>3.202</v>
      </c>
      <c r="F26" s="27">
        <v>2.5059999999999998</v>
      </c>
      <c r="G26" s="26">
        <v>0.69599999999999995</v>
      </c>
      <c r="H26" s="26" t="s">
        <v>19</v>
      </c>
      <c r="I26" s="28" t="s">
        <v>58</v>
      </c>
      <c r="J26" s="3" t="s">
        <v>21</v>
      </c>
      <c r="M26"/>
      <c r="N26" t="s">
        <v>50</v>
      </c>
      <c r="O26"/>
      <c r="P26" s="24" t="s">
        <v>42</v>
      </c>
      <c r="Q26" s="24">
        <v>12.516</v>
      </c>
      <c r="R26">
        <v>0</v>
      </c>
      <c r="S26">
        <v>12.516</v>
      </c>
    </row>
    <row r="27" spans="1:19" ht="22.5" customHeight="1" x14ac:dyDescent="0.15">
      <c r="A27" s="304" t="s">
        <v>59</v>
      </c>
      <c r="B27" s="304"/>
      <c r="C27" s="304"/>
      <c r="D27" s="304"/>
      <c r="E27" s="304"/>
      <c r="F27" s="304"/>
      <c r="G27" s="304"/>
      <c r="H27" s="304"/>
      <c r="I27" s="304"/>
      <c r="J27" s="304"/>
      <c r="N27" s="24" t="s">
        <v>52</v>
      </c>
      <c r="P27" s="24" t="s">
        <v>42</v>
      </c>
      <c r="Q27" s="24">
        <v>1.0920000000000001</v>
      </c>
      <c r="R27" s="24">
        <v>0</v>
      </c>
      <c r="S27" s="24">
        <v>1.0920000000000001</v>
      </c>
    </row>
    <row r="28" spans="1:19" ht="15" x14ac:dyDescent="0.25">
      <c r="A28" s="25"/>
      <c r="B28" s="305" t="s">
        <v>60</v>
      </c>
      <c r="C28" s="306"/>
      <c r="D28" s="3" t="s">
        <v>18</v>
      </c>
      <c r="E28" s="26">
        <v>3.1850000000000001</v>
      </c>
      <c r="F28" s="26"/>
      <c r="G28" s="26"/>
      <c r="H28" s="3" t="s">
        <v>61</v>
      </c>
      <c r="I28" s="27"/>
      <c r="J28" s="3" t="s">
        <v>62</v>
      </c>
    </row>
    <row r="29" spans="1:19" ht="15" x14ac:dyDescent="0.25">
      <c r="A29" s="25"/>
      <c r="B29" s="305" t="s">
        <v>63</v>
      </c>
      <c r="C29" s="306"/>
      <c r="D29" s="3" t="s">
        <v>42</v>
      </c>
      <c r="E29" s="26"/>
      <c r="F29" s="26">
        <v>3.13</v>
      </c>
      <c r="G29" s="26"/>
      <c r="H29" s="3" t="s">
        <v>64</v>
      </c>
      <c r="I29" s="27"/>
      <c r="J29" s="3" t="s">
        <v>62</v>
      </c>
    </row>
    <row r="30" spans="1:19" ht="15" x14ac:dyDescent="0.25">
      <c r="A30" s="25"/>
      <c r="B30" s="305" t="s">
        <v>65</v>
      </c>
      <c r="C30" s="306"/>
      <c r="D30" s="3" t="s">
        <v>42</v>
      </c>
      <c r="E30" s="26"/>
      <c r="F30" s="26">
        <v>2.1179999999999999</v>
      </c>
      <c r="G30" s="26"/>
      <c r="H30" s="3" t="s">
        <v>64</v>
      </c>
      <c r="I30" s="27"/>
      <c r="J30" s="3" t="s">
        <v>62</v>
      </c>
    </row>
    <row r="31" spans="1:19" ht="15" x14ac:dyDescent="0.25">
      <c r="A31" s="25"/>
      <c r="B31" s="305" t="s">
        <v>66</v>
      </c>
      <c r="C31" s="306"/>
      <c r="D31" s="3" t="s">
        <v>42</v>
      </c>
      <c r="E31" s="26"/>
      <c r="F31" s="26">
        <v>2.8250000000000002</v>
      </c>
      <c r="G31" s="26"/>
      <c r="H31" s="3" t="s">
        <v>64</v>
      </c>
      <c r="I31" s="27"/>
      <c r="J31" s="3" t="s">
        <v>62</v>
      </c>
    </row>
    <row r="32" spans="1:19" ht="15" x14ac:dyDescent="0.25">
      <c r="A32" s="25"/>
      <c r="B32" s="305" t="s">
        <v>67</v>
      </c>
      <c r="C32" s="306"/>
      <c r="D32" s="3" t="s">
        <v>42</v>
      </c>
      <c r="E32" s="26"/>
      <c r="F32" s="26">
        <v>3.0990000000000002</v>
      </c>
      <c r="G32" s="26"/>
      <c r="H32" s="3" t="s">
        <v>64</v>
      </c>
      <c r="I32" s="27"/>
      <c r="J32" s="3" t="s">
        <v>62</v>
      </c>
    </row>
    <row r="33" spans="1:15" ht="15" x14ac:dyDescent="0.25">
      <c r="A33" s="25"/>
      <c r="B33" s="305" t="s">
        <v>68</v>
      </c>
      <c r="C33" s="306"/>
      <c r="D33" s="3" t="s">
        <v>42</v>
      </c>
      <c r="E33" s="26"/>
      <c r="F33" s="26">
        <v>2.7930000000000001</v>
      </c>
      <c r="G33" s="26"/>
      <c r="H33" s="3" t="s">
        <v>64</v>
      </c>
      <c r="I33" s="27"/>
      <c r="J33" s="3" t="s">
        <v>62</v>
      </c>
    </row>
    <row r="34" spans="1:15" ht="15" x14ac:dyDescent="0.25">
      <c r="A34" s="25"/>
      <c r="B34" s="305" t="s">
        <v>69</v>
      </c>
      <c r="C34" s="306"/>
      <c r="D34" s="3" t="s">
        <v>42</v>
      </c>
      <c r="E34" s="26"/>
      <c r="F34" s="26">
        <v>2.7839999999999998</v>
      </c>
      <c r="G34" s="26"/>
      <c r="H34" s="3" t="s">
        <v>64</v>
      </c>
      <c r="I34" s="27"/>
      <c r="J34" s="3" t="s">
        <v>62</v>
      </c>
    </row>
    <row r="35" spans="1:15" ht="15" x14ac:dyDescent="0.25">
      <c r="A35" s="25"/>
      <c r="B35" s="305" t="s">
        <v>70</v>
      </c>
      <c r="C35" s="306"/>
      <c r="D35" s="3" t="s">
        <v>42</v>
      </c>
      <c r="E35" s="26"/>
      <c r="F35" s="26">
        <v>3.2250000000000001</v>
      </c>
      <c r="G35" s="26"/>
      <c r="H35" s="3" t="s">
        <v>64</v>
      </c>
      <c r="I35" s="27"/>
      <c r="J35" s="3" t="s">
        <v>62</v>
      </c>
    </row>
    <row r="36" spans="1:15" ht="15" x14ac:dyDescent="0.25">
      <c r="A36" s="25"/>
      <c r="B36" s="305" t="s">
        <v>71</v>
      </c>
      <c r="C36" s="306"/>
      <c r="D36" s="3" t="s">
        <v>42</v>
      </c>
      <c r="E36" s="26"/>
      <c r="F36" s="26">
        <v>3.3809999999999998</v>
      </c>
      <c r="G36" s="26"/>
      <c r="H36" s="3" t="s">
        <v>64</v>
      </c>
      <c r="I36" s="27"/>
      <c r="J36" s="3" t="s">
        <v>62</v>
      </c>
    </row>
    <row r="37" spans="1:15" ht="15" x14ac:dyDescent="0.25">
      <c r="A37" s="25"/>
      <c r="B37" s="305" t="s">
        <v>72</v>
      </c>
      <c r="C37" s="306"/>
      <c r="D37" s="3" t="s">
        <v>42</v>
      </c>
      <c r="E37" s="26"/>
      <c r="F37" s="26">
        <v>3.0350000000000001</v>
      </c>
      <c r="G37" s="26"/>
      <c r="H37" s="3" t="s">
        <v>64</v>
      </c>
      <c r="I37" s="27"/>
      <c r="J37" s="3" t="s">
        <v>62</v>
      </c>
    </row>
    <row r="38" spans="1:15" ht="15" x14ac:dyDescent="0.25">
      <c r="A38" s="25"/>
      <c r="B38" s="305" t="s">
        <v>73</v>
      </c>
      <c r="C38" s="306"/>
      <c r="D38" s="3" t="s">
        <v>42</v>
      </c>
      <c r="E38" s="26"/>
      <c r="F38" s="26">
        <v>3.4319999999999999</v>
      </c>
      <c r="G38" s="26"/>
      <c r="H38" s="3" t="s">
        <v>64</v>
      </c>
      <c r="I38" s="27"/>
      <c r="J38" s="3" t="s">
        <v>62</v>
      </c>
    </row>
    <row r="39" spans="1:15" ht="11.25" customHeight="1" x14ac:dyDescent="0.25">
      <c r="A39" s="25"/>
      <c r="B39" s="305" t="s">
        <v>74</v>
      </c>
      <c r="C39" s="306"/>
      <c r="D39" s="3" t="s">
        <v>42</v>
      </c>
      <c r="E39" s="26"/>
      <c r="F39" s="26">
        <v>3.1520000000000001</v>
      </c>
      <c r="G39" s="26"/>
      <c r="H39" s="3" t="s">
        <v>64</v>
      </c>
      <c r="I39" s="27"/>
      <c r="J39" s="3" t="s">
        <v>62</v>
      </c>
    </row>
    <row r="40" spans="1:15" ht="90" x14ac:dyDescent="0.25">
      <c r="A40" s="25"/>
      <c r="B40" s="305" t="s">
        <v>75</v>
      </c>
      <c r="C40" s="306"/>
      <c r="D40" s="3" t="s">
        <v>42</v>
      </c>
      <c r="E40" s="26"/>
      <c r="F40" s="29">
        <v>2.911</v>
      </c>
      <c r="G40" s="26"/>
      <c r="H40" s="3" t="s">
        <v>64</v>
      </c>
      <c r="I40" s="27" t="s">
        <v>76</v>
      </c>
      <c r="J40" s="30" t="s">
        <v>77</v>
      </c>
      <c r="L40" s="31">
        <f>64.4*45.2/1000</f>
        <v>2.9108800000000006</v>
      </c>
    </row>
    <row r="41" spans="1:15" ht="90" x14ac:dyDescent="0.25">
      <c r="A41" s="25"/>
      <c r="B41" s="305" t="s">
        <v>78</v>
      </c>
      <c r="C41" s="306"/>
      <c r="D41" s="3" t="s">
        <v>42</v>
      </c>
      <c r="E41" s="26"/>
      <c r="F41" s="29">
        <v>2.7930000000000001</v>
      </c>
      <c r="G41" s="26"/>
      <c r="H41" s="3" t="s">
        <v>64</v>
      </c>
      <c r="I41" s="27" t="s">
        <v>76</v>
      </c>
      <c r="J41" s="30" t="s">
        <v>77</v>
      </c>
      <c r="L41" s="31">
        <f>61.8*45.2/1000</f>
        <v>2.7933600000000003</v>
      </c>
    </row>
    <row r="42" spans="1:15" ht="15" x14ac:dyDescent="0.25">
      <c r="A42" s="25"/>
      <c r="B42" s="305" t="s">
        <v>79</v>
      </c>
      <c r="C42" s="306"/>
      <c r="D42" s="3" t="s">
        <v>42</v>
      </c>
      <c r="E42" s="26"/>
      <c r="F42" s="26">
        <v>2.9470000000000001</v>
      </c>
      <c r="G42" s="26"/>
      <c r="H42" s="3" t="s">
        <v>64</v>
      </c>
      <c r="I42" s="27"/>
      <c r="J42" s="3" t="s">
        <v>62</v>
      </c>
    </row>
    <row r="43" spans="1:15" ht="15" x14ac:dyDescent="0.25">
      <c r="A43" s="25"/>
      <c r="B43" s="305" t="s">
        <v>80</v>
      </c>
      <c r="C43" s="306"/>
      <c r="D43" s="3" t="s">
        <v>42</v>
      </c>
      <c r="E43" s="26"/>
      <c r="F43" s="26">
        <v>2.88</v>
      </c>
      <c r="G43" s="26"/>
      <c r="H43" s="3" t="s">
        <v>64</v>
      </c>
      <c r="I43" s="27"/>
      <c r="J43" s="3" t="s">
        <v>62</v>
      </c>
    </row>
    <row r="44" spans="1:15" ht="15" x14ac:dyDescent="0.25">
      <c r="A44" s="25"/>
      <c r="B44" s="305" t="s">
        <v>81</v>
      </c>
      <c r="C44" s="306"/>
      <c r="D44" s="3" t="s">
        <v>42</v>
      </c>
      <c r="E44" s="26"/>
      <c r="F44" s="26">
        <v>2.6880000000000002</v>
      </c>
      <c r="G44" s="26"/>
      <c r="H44" s="3" t="s">
        <v>64</v>
      </c>
      <c r="I44" s="27"/>
      <c r="J44" s="3" t="s">
        <v>62</v>
      </c>
    </row>
    <row r="45" spans="1:15" ht="15" x14ac:dyDescent="0.25">
      <c r="A45" s="25"/>
      <c r="B45" s="305" t="s">
        <v>82</v>
      </c>
      <c r="C45" s="306"/>
      <c r="D45" s="3" t="s">
        <v>42</v>
      </c>
      <c r="E45" s="26"/>
      <c r="F45" s="26">
        <v>2.7280000000000002</v>
      </c>
      <c r="G45" s="26"/>
      <c r="H45" s="3" t="s">
        <v>64</v>
      </c>
      <c r="I45" s="27"/>
      <c r="J45" s="3" t="s">
        <v>62</v>
      </c>
    </row>
    <row r="46" spans="1:15" ht="15" x14ac:dyDescent="0.25">
      <c r="A46" s="25"/>
      <c r="B46" s="305" t="s">
        <v>83</v>
      </c>
      <c r="C46" s="306"/>
      <c r="D46" s="3" t="s">
        <v>42</v>
      </c>
      <c r="E46" s="26"/>
      <c r="F46" s="26">
        <v>2.5680000000000001</v>
      </c>
      <c r="G46" s="26"/>
      <c r="H46" s="3" t="s">
        <v>64</v>
      </c>
      <c r="I46" s="27"/>
      <c r="J46" s="3" t="s">
        <v>62</v>
      </c>
    </row>
    <row r="47" spans="1:15" ht="15" x14ac:dyDescent="0.25">
      <c r="A47" s="25"/>
      <c r="B47" s="305" t="s">
        <v>84</v>
      </c>
      <c r="C47" s="306"/>
      <c r="D47" s="3" t="s">
        <v>42</v>
      </c>
      <c r="E47" s="26"/>
      <c r="F47" s="29">
        <v>2.327</v>
      </c>
      <c r="G47" s="26"/>
      <c r="H47" s="3" t="s">
        <v>64</v>
      </c>
      <c r="I47" s="27"/>
      <c r="J47" s="30" t="s">
        <v>77</v>
      </c>
      <c r="L47" s="31">
        <f>92.7*25.1/1000</f>
        <v>2.3267699999999998</v>
      </c>
      <c r="O47" s="32"/>
    </row>
    <row r="48" spans="1:15" ht="15" x14ac:dyDescent="0.25">
      <c r="A48" s="25"/>
      <c r="B48" s="305" t="s">
        <v>85</v>
      </c>
      <c r="C48" s="306"/>
      <c r="D48" s="3" t="s">
        <v>42</v>
      </c>
      <c r="E48" s="26"/>
      <c r="F48" s="26">
        <v>1.8160000000000001</v>
      </c>
      <c r="G48" s="26"/>
      <c r="H48" s="3" t="s">
        <v>64</v>
      </c>
      <c r="I48" s="27"/>
      <c r="J48" s="3" t="s">
        <v>62</v>
      </c>
    </row>
    <row r="49" spans="1:18" ht="15" x14ac:dyDescent="0.25">
      <c r="A49" s="25"/>
      <c r="B49" s="305" t="s">
        <v>86</v>
      </c>
      <c r="C49" s="306"/>
      <c r="D49" s="3" t="s">
        <v>42</v>
      </c>
      <c r="E49" s="26"/>
      <c r="F49" s="26">
        <v>2.02</v>
      </c>
      <c r="G49" s="26"/>
      <c r="H49" s="3" t="s">
        <v>64</v>
      </c>
      <c r="I49" s="27"/>
      <c r="J49" s="3" t="s">
        <v>62</v>
      </c>
    </row>
    <row r="50" spans="1:18" ht="15" x14ac:dyDescent="0.25">
      <c r="A50" s="25"/>
      <c r="B50" s="305" t="s">
        <v>87</v>
      </c>
      <c r="C50" s="306"/>
      <c r="D50" s="3" t="s">
        <v>42</v>
      </c>
      <c r="E50" s="26"/>
      <c r="F50" s="26">
        <v>0.95199999999999996</v>
      </c>
      <c r="G50" s="26"/>
      <c r="H50" s="3" t="s">
        <v>64</v>
      </c>
      <c r="I50" s="27"/>
      <c r="J50" s="3" t="s">
        <v>62</v>
      </c>
    </row>
    <row r="51" spans="1:18" ht="15" x14ac:dyDescent="0.25">
      <c r="A51" s="25"/>
      <c r="B51" s="305" t="s">
        <v>88</v>
      </c>
      <c r="C51" s="306"/>
      <c r="D51" s="3" t="s">
        <v>42</v>
      </c>
      <c r="E51" s="26"/>
      <c r="F51" s="26">
        <v>1.0349999999999999</v>
      </c>
      <c r="G51" s="26"/>
      <c r="H51" s="3" t="s">
        <v>64</v>
      </c>
      <c r="I51" s="27"/>
      <c r="J51" s="3" t="s">
        <v>62</v>
      </c>
    </row>
    <row r="52" spans="1:18" ht="24" customHeight="1" x14ac:dyDescent="0.25">
      <c r="A52" s="25"/>
      <c r="B52" s="302" t="s">
        <v>89</v>
      </c>
      <c r="C52" s="303"/>
      <c r="D52" s="3" t="s">
        <v>42</v>
      </c>
      <c r="E52" s="26"/>
      <c r="F52" s="26">
        <v>2.0179999999999998</v>
      </c>
      <c r="G52" s="26"/>
      <c r="H52" s="3" t="s">
        <v>64</v>
      </c>
      <c r="I52" s="27"/>
      <c r="J52" s="3" t="s">
        <v>62</v>
      </c>
    </row>
    <row r="53" spans="1:18" ht="135" x14ac:dyDescent="0.25">
      <c r="A53" s="25"/>
      <c r="B53" s="305" t="s">
        <v>90</v>
      </c>
      <c r="C53" s="306"/>
      <c r="D53" s="3" t="s">
        <v>91</v>
      </c>
      <c r="E53" s="29">
        <v>2.085</v>
      </c>
      <c r="F53" s="29">
        <v>1.788</v>
      </c>
      <c r="G53" s="29">
        <v>0.29699999999999999</v>
      </c>
      <c r="H53" s="30" t="s">
        <v>92</v>
      </c>
      <c r="I53" s="33" t="s">
        <v>93</v>
      </c>
      <c r="J53" s="30" t="s">
        <v>77</v>
      </c>
      <c r="L53" s="31">
        <f>56.5*31.65/1000</f>
        <v>1.788225</v>
      </c>
    </row>
    <row r="54" spans="1:18" ht="114" x14ac:dyDescent="0.25">
      <c r="A54" s="25"/>
      <c r="B54" s="302" t="s">
        <v>90</v>
      </c>
      <c r="C54" s="303"/>
      <c r="D54" s="30" t="s">
        <v>94</v>
      </c>
      <c r="E54" s="29">
        <v>65.599999999999994</v>
      </c>
      <c r="F54" s="29">
        <v>56.5</v>
      </c>
      <c r="G54" s="29">
        <v>9.1</v>
      </c>
      <c r="H54" s="30" t="s">
        <v>95</v>
      </c>
      <c r="I54" s="34" t="s">
        <v>96</v>
      </c>
      <c r="J54" s="30" t="s">
        <v>97</v>
      </c>
      <c r="L54" s="31"/>
    </row>
    <row r="55" spans="1:18" ht="15" x14ac:dyDescent="0.25">
      <c r="A55" s="25"/>
      <c r="B55" s="305" t="s">
        <v>98</v>
      </c>
      <c r="C55" s="306"/>
      <c r="D55" s="3" t="s">
        <v>18</v>
      </c>
      <c r="E55" s="26">
        <v>1.7250000000000001</v>
      </c>
      <c r="F55" s="26">
        <v>1.53</v>
      </c>
      <c r="G55" s="26">
        <v>0.19500000000000001</v>
      </c>
      <c r="H55" s="3" t="s">
        <v>99</v>
      </c>
      <c r="I55" s="27"/>
      <c r="J55" s="3" t="s">
        <v>62</v>
      </c>
    </row>
    <row r="56" spans="1:18" ht="60" x14ac:dyDescent="0.25">
      <c r="A56" s="25"/>
      <c r="B56" s="305" t="s">
        <v>100</v>
      </c>
      <c r="C56" s="306"/>
      <c r="D56" s="3" t="s">
        <v>91</v>
      </c>
      <c r="E56" s="26">
        <v>0.39800000000000002</v>
      </c>
      <c r="F56" s="26">
        <v>0</v>
      </c>
      <c r="G56" s="26">
        <v>0.39800000000000002</v>
      </c>
      <c r="H56" s="3" t="s">
        <v>61</v>
      </c>
      <c r="I56" s="27" t="s">
        <v>101</v>
      </c>
      <c r="J56" s="3" t="s">
        <v>62</v>
      </c>
    </row>
    <row r="57" spans="1:18" ht="60" x14ac:dyDescent="0.25">
      <c r="A57" s="25"/>
      <c r="B57" s="305" t="s">
        <v>102</v>
      </c>
      <c r="C57" s="306"/>
      <c r="D57" s="3" t="s">
        <v>91</v>
      </c>
      <c r="E57" s="26">
        <v>1.0389999999999999</v>
      </c>
      <c r="F57" s="26">
        <v>0</v>
      </c>
      <c r="G57" s="26">
        <v>1.0389999999999999</v>
      </c>
      <c r="H57" s="3" t="s">
        <v>103</v>
      </c>
      <c r="I57" s="27" t="s">
        <v>101</v>
      </c>
      <c r="J57" s="3" t="s">
        <v>104</v>
      </c>
    </row>
    <row r="58" spans="1:18" ht="60" x14ac:dyDescent="0.25">
      <c r="A58" s="25"/>
      <c r="B58" s="302" t="s">
        <v>105</v>
      </c>
      <c r="C58" s="303"/>
      <c r="D58" s="3" t="s">
        <v>91</v>
      </c>
      <c r="E58" s="26">
        <v>0.46100000000000002</v>
      </c>
      <c r="F58" s="26">
        <v>0</v>
      </c>
      <c r="G58" s="26">
        <v>0.46100000000000002</v>
      </c>
      <c r="H58" s="3" t="s">
        <v>103</v>
      </c>
      <c r="I58" s="27" t="s">
        <v>101</v>
      </c>
      <c r="J58" s="3" t="s">
        <v>104</v>
      </c>
    </row>
    <row r="59" spans="1:18" ht="60" x14ac:dyDescent="0.25">
      <c r="A59" s="25"/>
      <c r="B59" s="305" t="s">
        <v>106</v>
      </c>
      <c r="C59" s="306"/>
      <c r="D59" s="3" t="s">
        <v>91</v>
      </c>
      <c r="E59" s="26">
        <v>0.85899999999999999</v>
      </c>
      <c r="F59" s="26">
        <v>0</v>
      </c>
      <c r="G59" s="26">
        <v>0.85899999999999999</v>
      </c>
      <c r="H59" s="3" t="s">
        <v>103</v>
      </c>
      <c r="I59" s="27" t="s">
        <v>101</v>
      </c>
      <c r="J59" s="3" t="s">
        <v>104</v>
      </c>
    </row>
    <row r="60" spans="1:18" ht="72.75" customHeight="1" x14ac:dyDescent="0.25">
      <c r="A60" s="25"/>
      <c r="B60" s="305" t="s">
        <v>107</v>
      </c>
      <c r="C60" s="306"/>
      <c r="D60" s="3" t="s">
        <v>91</v>
      </c>
      <c r="E60" s="26">
        <v>0.72299999999999998</v>
      </c>
      <c r="F60" s="26">
        <v>0</v>
      </c>
      <c r="G60" s="26">
        <v>0.72299999999999998</v>
      </c>
      <c r="H60" s="3" t="s">
        <v>103</v>
      </c>
      <c r="I60" s="27" t="s">
        <v>108</v>
      </c>
      <c r="J60" s="3" t="s">
        <v>104</v>
      </c>
    </row>
    <row r="61" spans="1:18" ht="180" x14ac:dyDescent="0.25">
      <c r="A61" s="25" t="s">
        <v>109</v>
      </c>
      <c r="B61" s="305" t="s">
        <v>110</v>
      </c>
      <c r="C61" s="306"/>
      <c r="D61" s="3" t="s">
        <v>111</v>
      </c>
      <c r="E61" s="26">
        <v>6.2E-2</v>
      </c>
      <c r="F61" s="26">
        <v>8.9999999999999993E-3</v>
      </c>
      <c r="G61" s="26">
        <v>5.2999999999999999E-2</v>
      </c>
      <c r="H61" s="3" t="s">
        <v>112</v>
      </c>
      <c r="I61" s="27" t="s">
        <v>113</v>
      </c>
      <c r="J61" s="3" t="s">
        <v>114</v>
      </c>
      <c r="N61" s="24" t="s">
        <v>110</v>
      </c>
      <c r="O61" s="3" t="s">
        <v>111</v>
      </c>
      <c r="P61" s="26">
        <v>6.2E-2</v>
      </c>
      <c r="Q61" s="26">
        <v>8.9999999999999993E-3</v>
      </c>
      <c r="R61" s="26">
        <v>5.2999999999999999E-2</v>
      </c>
    </row>
    <row r="62" spans="1:18" ht="120" x14ac:dyDescent="0.25">
      <c r="A62" s="25"/>
      <c r="B62" s="305" t="s">
        <v>115</v>
      </c>
      <c r="C62" s="306"/>
      <c r="D62" s="3" t="s">
        <v>111</v>
      </c>
      <c r="E62" s="26">
        <v>5.3999999999999999E-2</v>
      </c>
      <c r="F62" s="26">
        <v>8.9999999999999993E-3</v>
      </c>
      <c r="G62" s="26">
        <v>4.4999999999999998E-2</v>
      </c>
      <c r="H62" s="3" t="s">
        <v>112</v>
      </c>
      <c r="I62" s="27" t="s">
        <v>116</v>
      </c>
      <c r="J62" s="3" t="s">
        <v>114</v>
      </c>
      <c r="N62" s="24" t="s">
        <v>412</v>
      </c>
      <c r="O62" s="3" t="s">
        <v>111</v>
      </c>
      <c r="P62" s="26">
        <v>5.3999999999999999E-2</v>
      </c>
      <c r="Q62" s="26">
        <v>8.9999999999999993E-3</v>
      </c>
      <c r="R62" s="26">
        <v>4.4999999999999998E-2</v>
      </c>
    </row>
    <row r="63" spans="1:18" ht="135" x14ac:dyDescent="0.25">
      <c r="A63" s="25"/>
      <c r="B63" s="302" t="s">
        <v>117</v>
      </c>
      <c r="C63" s="303"/>
      <c r="D63" s="3" t="s">
        <v>111</v>
      </c>
      <c r="E63" s="26">
        <v>3.5000000000000003E-2</v>
      </c>
      <c r="F63" s="26">
        <v>6.0000000000000001E-3</v>
      </c>
      <c r="G63" s="26">
        <v>2.9000000000000001E-2</v>
      </c>
      <c r="H63" s="3" t="s">
        <v>112</v>
      </c>
      <c r="I63" s="27" t="s">
        <v>118</v>
      </c>
      <c r="J63" s="3" t="s">
        <v>114</v>
      </c>
      <c r="N63" s="43" t="s">
        <v>117</v>
      </c>
      <c r="O63" s="3" t="s">
        <v>111</v>
      </c>
      <c r="P63" s="26">
        <v>3.5000000000000003E-2</v>
      </c>
      <c r="Q63" s="26">
        <v>6.0000000000000001E-3</v>
      </c>
      <c r="R63" s="26">
        <v>2.9000000000000001E-2</v>
      </c>
    </row>
    <row r="64" spans="1:18" ht="150" x14ac:dyDescent="0.25">
      <c r="A64" s="25"/>
      <c r="B64" s="305" t="s">
        <v>119</v>
      </c>
      <c r="C64" s="306"/>
      <c r="D64" s="3" t="s">
        <v>111</v>
      </c>
      <c r="E64" s="26">
        <v>0.55600000000000005</v>
      </c>
      <c r="F64" s="26">
        <v>6.0000000000000001E-3</v>
      </c>
      <c r="G64" s="26">
        <v>0.55000000000000004</v>
      </c>
      <c r="H64" s="3" t="s">
        <v>112</v>
      </c>
      <c r="I64" s="27" t="s">
        <v>120</v>
      </c>
      <c r="J64" s="3" t="s">
        <v>114</v>
      </c>
      <c r="N64" s="24" t="s">
        <v>119</v>
      </c>
      <c r="O64" s="3" t="s">
        <v>111</v>
      </c>
      <c r="P64" s="26">
        <v>0.55600000000000005</v>
      </c>
      <c r="Q64" s="26">
        <v>6.0000000000000001E-3</v>
      </c>
      <c r="R64" s="26">
        <v>0.55000000000000004</v>
      </c>
    </row>
    <row r="65" spans="1:18" ht="135" x14ac:dyDescent="0.25">
      <c r="A65" s="25"/>
      <c r="B65" s="305" t="s">
        <v>121</v>
      </c>
      <c r="C65" s="306"/>
      <c r="D65" s="3" t="s">
        <v>111</v>
      </c>
      <c r="E65" s="26">
        <v>7.6999999999999999E-2</v>
      </c>
      <c r="F65" s="26">
        <v>8.9999999999999993E-3</v>
      </c>
      <c r="G65" s="26">
        <v>6.8000000000000005E-2</v>
      </c>
      <c r="H65" s="3" t="s">
        <v>112</v>
      </c>
      <c r="I65" s="27" t="s">
        <v>122</v>
      </c>
      <c r="J65" s="3" t="s">
        <v>114</v>
      </c>
      <c r="N65" s="24" t="s">
        <v>121</v>
      </c>
      <c r="O65" s="3" t="s">
        <v>111</v>
      </c>
      <c r="P65" s="26">
        <v>7.6999999999999999E-2</v>
      </c>
      <c r="Q65" s="26">
        <v>8.9999999999999993E-3</v>
      </c>
      <c r="R65" s="26">
        <v>6.8000000000000005E-2</v>
      </c>
    </row>
    <row r="66" spans="1:18" ht="22.5" customHeight="1" x14ac:dyDescent="0.15">
      <c r="A66" s="304" t="s">
        <v>123</v>
      </c>
      <c r="B66" s="304"/>
      <c r="C66" s="304"/>
      <c r="D66" s="304"/>
      <c r="E66" s="304"/>
      <c r="F66" s="304"/>
      <c r="G66" s="304"/>
      <c r="H66" s="304"/>
      <c r="I66" s="304"/>
      <c r="J66" s="304"/>
    </row>
    <row r="67" spans="1:18" ht="108" customHeight="1" x14ac:dyDescent="0.25">
      <c r="A67" s="25"/>
      <c r="B67" s="35" t="s">
        <v>124</v>
      </c>
      <c r="C67" s="36"/>
      <c r="D67" s="3"/>
      <c r="E67" s="3" t="s">
        <v>125</v>
      </c>
      <c r="F67" s="3" t="s">
        <v>126</v>
      </c>
      <c r="G67" s="37">
        <v>5.8000000000000003E-2</v>
      </c>
      <c r="H67" s="33" t="s">
        <v>127</v>
      </c>
      <c r="I67" s="33" t="s">
        <v>128</v>
      </c>
      <c r="J67" s="30" t="s">
        <v>77</v>
      </c>
    </row>
    <row r="68" spans="1:18" ht="75" x14ac:dyDescent="0.25">
      <c r="A68" s="25"/>
      <c r="B68" s="35" t="s">
        <v>129</v>
      </c>
      <c r="C68" s="36"/>
      <c r="D68" s="3" t="s">
        <v>130</v>
      </c>
      <c r="E68" s="38">
        <v>0.52300000000000002</v>
      </c>
      <c r="F68" s="38">
        <v>0.45400000000000001</v>
      </c>
      <c r="G68" s="37">
        <v>6.9000000000000006E-2</v>
      </c>
      <c r="H68" s="33" t="s">
        <v>127</v>
      </c>
      <c r="I68" s="27" t="s">
        <v>131</v>
      </c>
      <c r="J68" s="30" t="s">
        <v>77</v>
      </c>
    </row>
    <row r="69" spans="1:18" ht="90" x14ac:dyDescent="0.25">
      <c r="A69" s="25"/>
      <c r="B69" s="35" t="s">
        <v>132</v>
      </c>
      <c r="C69" s="36"/>
      <c r="D69" s="3" t="s">
        <v>130</v>
      </c>
      <c r="E69" s="38">
        <v>0.42699999999999999</v>
      </c>
      <c r="F69" s="38">
        <v>0.36899999999999999</v>
      </c>
      <c r="G69" s="37">
        <v>5.8000000000000003E-2</v>
      </c>
      <c r="H69" s="33" t="s">
        <v>127</v>
      </c>
      <c r="I69" s="27" t="s">
        <v>133</v>
      </c>
      <c r="J69" s="30" t="s">
        <v>77</v>
      </c>
    </row>
    <row r="70" spans="1:18" ht="60" x14ac:dyDescent="0.25">
      <c r="A70" s="25"/>
      <c r="B70" s="35" t="s">
        <v>134</v>
      </c>
      <c r="C70" s="36"/>
      <c r="D70" s="3" t="s">
        <v>130</v>
      </c>
      <c r="E70" s="3">
        <v>0</v>
      </c>
      <c r="F70" s="3">
        <v>0</v>
      </c>
      <c r="G70" s="3">
        <v>0</v>
      </c>
      <c r="H70" s="27" t="s">
        <v>127</v>
      </c>
      <c r="I70" s="27" t="s">
        <v>135</v>
      </c>
      <c r="J70" s="3" t="s">
        <v>104</v>
      </c>
    </row>
    <row r="71" spans="1:18" ht="60" x14ac:dyDescent="0.25">
      <c r="A71" s="25"/>
      <c r="B71" s="35" t="s">
        <v>136</v>
      </c>
      <c r="C71" s="36"/>
      <c r="D71" s="3" t="s">
        <v>130</v>
      </c>
      <c r="E71" s="3">
        <v>0</v>
      </c>
      <c r="F71" s="3">
        <v>0</v>
      </c>
      <c r="G71" s="3">
        <v>0</v>
      </c>
      <c r="H71" s="27" t="s">
        <v>127</v>
      </c>
      <c r="I71" s="27" t="s">
        <v>137</v>
      </c>
      <c r="J71" s="3" t="s">
        <v>104</v>
      </c>
    </row>
    <row r="72" spans="1:18" ht="60" x14ac:dyDescent="0.25">
      <c r="A72" s="25"/>
      <c r="B72" s="35" t="s">
        <v>138</v>
      </c>
      <c r="C72" s="36"/>
      <c r="D72" s="3" t="s">
        <v>130</v>
      </c>
      <c r="E72" s="3">
        <v>0</v>
      </c>
      <c r="F72" s="3">
        <v>0</v>
      </c>
      <c r="G72" s="3">
        <v>0</v>
      </c>
      <c r="H72" s="27" t="s">
        <v>127</v>
      </c>
      <c r="I72" s="33" t="s">
        <v>139</v>
      </c>
      <c r="J72" s="30" t="s">
        <v>77</v>
      </c>
    </row>
    <row r="73" spans="1:18" ht="135" x14ac:dyDescent="0.25">
      <c r="A73" s="25"/>
      <c r="B73" s="35" t="s">
        <v>140</v>
      </c>
      <c r="C73" s="36"/>
      <c r="D73" s="3" t="s">
        <v>130</v>
      </c>
      <c r="E73" s="30">
        <v>4.3999999999999997E-2</v>
      </c>
      <c r="F73" s="3">
        <v>0</v>
      </c>
      <c r="G73" s="30">
        <v>4.3999999999999997E-2</v>
      </c>
      <c r="H73" s="33" t="s">
        <v>127</v>
      </c>
      <c r="I73" s="33" t="s">
        <v>141</v>
      </c>
      <c r="J73" s="30" t="s">
        <v>77</v>
      </c>
    </row>
    <row r="74" spans="1:18" ht="22.5" customHeight="1" x14ac:dyDescent="0.15">
      <c r="A74" s="304" t="s">
        <v>142</v>
      </c>
      <c r="B74" s="304"/>
      <c r="C74" s="304"/>
      <c r="D74" s="304"/>
      <c r="E74" s="304"/>
      <c r="F74" s="304"/>
      <c r="G74" s="304"/>
      <c r="H74" s="304"/>
      <c r="I74" s="304"/>
      <c r="J74" s="304"/>
    </row>
    <row r="75" spans="1:18" ht="107.25" customHeight="1" x14ac:dyDescent="0.25">
      <c r="A75" s="25"/>
      <c r="B75" s="302" t="s">
        <v>143</v>
      </c>
      <c r="C75" s="303"/>
      <c r="D75" s="3" t="s">
        <v>94</v>
      </c>
      <c r="E75" s="30">
        <v>26.84</v>
      </c>
      <c r="F75" s="39">
        <v>23.4</v>
      </c>
      <c r="G75" s="3">
        <v>3.44</v>
      </c>
      <c r="H75" s="33" t="s">
        <v>144</v>
      </c>
      <c r="I75" s="34" t="s">
        <v>145</v>
      </c>
      <c r="J75" s="30" t="s">
        <v>77</v>
      </c>
    </row>
    <row r="76" spans="1:18" ht="60" x14ac:dyDescent="0.25">
      <c r="A76" s="25"/>
      <c r="B76" s="302" t="s">
        <v>146</v>
      </c>
      <c r="C76" s="303"/>
      <c r="D76" s="3" t="s">
        <v>94</v>
      </c>
      <c r="E76" s="3">
        <v>8.8000000000000007</v>
      </c>
      <c r="F76" s="3">
        <v>7.9</v>
      </c>
      <c r="G76" s="3">
        <v>0.9</v>
      </c>
      <c r="H76" s="27" t="s">
        <v>147</v>
      </c>
      <c r="I76" s="27" t="s">
        <v>148</v>
      </c>
      <c r="J76" s="3" t="s">
        <v>149</v>
      </c>
    </row>
    <row r="77" spans="1:18" ht="22.5" customHeight="1" x14ac:dyDescent="0.15">
      <c r="A77" s="40" t="s">
        <v>150</v>
      </c>
      <c r="B77" s="40"/>
      <c r="C77" s="40"/>
      <c r="D77" s="40"/>
      <c r="E77" s="40"/>
      <c r="F77" s="40"/>
      <c r="G77" s="40"/>
      <c r="H77" s="40"/>
      <c r="I77" s="40"/>
      <c r="J77" s="40"/>
    </row>
    <row r="78" spans="1:18" ht="72" customHeight="1" x14ac:dyDescent="0.25">
      <c r="A78" s="3" t="s">
        <v>151</v>
      </c>
      <c r="B78" s="27" t="s">
        <v>152</v>
      </c>
      <c r="C78" s="27" t="s">
        <v>153</v>
      </c>
      <c r="D78" s="27" t="s">
        <v>154</v>
      </c>
      <c r="E78" s="29">
        <v>0.193</v>
      </c>
      <c r="F78" s="29">
        <v>0.14499999999999999</v>
      </c>
      <c r="G78" s="29">
        <v>4.9000000000000002E-2</v>
      </c>
      <c r="H78" s="3" t="s">
        <v>155</v>
      </c>
      <c r="I78" s="33" t="s">
        <v>156</v>
      </c>
      <c r="J78" s="30" t="s">
        <v>77</v>
      </c>
    </row>
    <row r="79" spans="1:18" ht="120" x14ac:dyDescent="0.25">
      <c r="A79" s="3"/>
      <c r="B79" s="27" t="s">
        <v>157</v>
      </c>
      <c r="C79" s="27" t="s">
        <v>158</v>
      </c>
      <c r="D79" s="27" t="s">
        <v>154</v>
      </c>
      <c r="E79" s="29">
        <v>0.17399999999999999</v>
      </c>
      <c r="F79" s="29">
        <v>0.13400000000000001</v>
      </c>
      <c r="G79" s="29">
        <v>0.04</v>
      </c>
      <c r="H79" s="3" t="s">
        <v>155</v>
      </c>
      <c r="I79" s="33" t="s">
        <v>159</v>
      </c>
      <c r="J79" s="30" t="s">
        <v>77</v>
      </c>
    </row>
    <row r="80" spans="1:18" ht="120" x14ac:dyDescent="0.25">
      <c r="A80" s="3"/>
      <c r="B80" s="27" t="s">
        <v>157</v>
      </c>
      <c r="C80" s="27" t="s">
        <v>160</v>
      </c>
      <c r="D80" s="27" t="s">
        <v>154</v>
      </c>
      <c r="E80" s="29">
        <v>0.20399999999999999</v>
      </c>
      <c r="F80" s="29">
        <v>0.157</v>
      </c>
      <c r="G80" s="29">
        <v>4.7E-2</v>
      </c>
      <c r="H80" s="3" t="s">
        <v>155</v>
      </c>
      <c r="I80" s="33" t="s">
        <v>161</v>
      </c>
      <c r="J80" s="30" t="s">
        <v>77</v>
      </c>
    </row>
    <row r="81" spans="1:10" ht="78.75" customHeight="1" x14ac:dyDescent="0.25">
      <c r="A81" s="3"/>
      <c r="B81" s="27" t="s">
        <v>157</v>
      </c>
      <c r="C81" s="27" t="s">
        <v>162</v>
      </c>
      <c r="D81" s="27" t="s">
        <v>154</v>
      </c>
      <c r="E81" s="29">
        <v>0.218</v>
      </c>
      <c r="F81" s="29">
        <v>0.16700000000000001</v>
      </c>
      <c r="G81" s="29">
        <v>0.05</v>
      </c>
      <c r="H81" s="3" t="s">
        <v>155</v>
      </c>
      <c r="I81" s="33" t="s">
        <v>163</v>
      </c>
      <c r="J81" s="30" t="s">
        <v>77</v>
      </c>
    </row>
    <row r="82" spans="1:10" ht="120" x14ac:dyDescent="0.25">
      <c r="A82" s="3"/>
      <c r="B82" s="27" t="s">
        <v>157</v>
      </c>
      <c r="C82" s="27" t="s">
        <v>164</v>
      </c>
      <c r="D82" s="27" t="s">
        <v>154</v>
      </c>
      <c r="E82" s="29">
        <v>0.14399999999999999</v>
      </c>
      <c r="F82" s="29">
        <v>0.111</v>
      </c>
      <c r="G82" s="29">
        <v>3.3000000000000002E-2</v>
      </c>
      <c r="H82" s="3" t="s">
        <v>155</v>
      </c>
      <c r="I82" s="33" t="s">
        <v>165</v>
      </c>
      <c r="J82" s="30" t="s">
        <v>77</v>
      </c>
    </row>
    <row r="83" spans="1:10" ht="150" x14ac:dyDescent="0.25">
      <c r="A83" s="3"/>
      <c r="B83" s="27" t="s">
        <v>157</v>
      </c>
      <c r="C83" s="27" t="s">
        <v>166</v>
      </c>
      <c r="D83" s="27" t="s">
        <v>154</v>
      </c>
      <c r="E83" s="29">
        <v>0.128</v>
      </c>
      <c r="F83" s="29"/>
      <c r="G83" s="29"/>
      <c r="H83" s="3" t="s">
        <v>155</v>
      </c>
      <c r="I83" s="33" t="s">
        <v>167</v>
      </c>
      <c r="J83" s="30" t="s">
        <v>77</v>
      </c>
    </row>
    <row r="84" spans="1:10" ht="120" x14ac:dyDescent="0.25">
      <c r="A84" s="3"/>
      <c r="B84" s="27" t="s">
        <v>168</v>
      </c>
      <c r="C84" s="27" t="s">
        <v>158</v>
      </c>
      <c r="D84" s="27" t="s">
        <v>154</v>
      </c>
      <c r="E84" s="29">
        <v>0.16600000000000001</v>
      </c>
      <c r="F84" s="29">
        <v>0.126</v>
      </c>
      <c r="G84" s="29">
        <v>0.04</v>
      </c>
      <c r="H84" s="3" t="s">
        <v>155</v>
      </c>
      <c r="I84" s="33" t="s">
        <v>169</v>
      </c>
      <c r="J84" s="30" t="s">
        <v>77</v>
      </c>
    </row>
    <row r="85" spans="1:10" ht="120" x14ac:dyDescent="0.25">
      <c r="A85" s="3"/>
      <c r="B85" s="27" t="s">
        <v>168</v>
      </c>
      <c r="C85" s="27" t="s">
        <v>160</v>
      </c>
      <c r="D85" s="27" t="s">
        <v>154</v>
      </c>
      <c r="E85" s="29">
        <v>0.18</v>
      </c>
      <c r="F85" s="29">
        <v>0.13600000000000001</v>
      </c>
      <c r="G85" s="29">
        <v>4.2999999999999997E-2</v>
      </c>
      <c r="H85" s="3" t="s">
        <v>155</v>
      </c>
      <c r="I85" s="33" t="s">
        <v>170</v>
      </c>
      <c r="J85" s="30" t="s">
        <v>77</v>
      </c>
    </row>
    <row r="86" spans="1:10" ht="120" x14ac:dyDescent="0.25">
      <c r="A86" s="3"/>
      <c r="B86" s="27" t="s">
        <v>168</v>
      </c>
      <c r="C86" s="27" t="s">
        <v>162</v>
      </c>
      <c r="D86" s="27" t="s">
        <v>154</v>
      </c>
      <c r="E86" s="29">
        <v>0.20300000000000001</v>
      </c>
      <c r="F86" s="29">
        <v>0.154</v>
      </c>
      <c r="G86" s="29">
        <v>4.9000000000000002E-2</v>
      </c>
      <c r="H86" s="3" t="s">
        <v>155</v>
      </c>
      <c r="I86" s="33" t="s">
        <v>171</v>
      </c>
      <c r="J86" s="30" t="s">
        <v>77</v>
      </c>
    </row>
    <row r="87" spans="1:10" ht="75" x14ac:dyDescent="0.25">
      <c r="A87" s="3"/>
      <c r="B87" s="27" t="s">
        <v>168</v>
      </c>
      <c r="C87" s="27" t="s">
        <v>164</v>
      </c>
      <c r="D87" s="27" t="s">
        <v>154</v>
      </c>
      <c r="E87" s="29">
        <v>0.15</v>
      </c>
      <c r="F87" s="29">
        <v>0.115</v>
      </c>
      <c r="G87" s="29">
        <v>3.5000000000000003E-2</v>
      </c>
      <c r="H87" s="3" t="s">
        <v>155</v>
      </c>
      <c r="I87" s="33" t="s">
        <v>172</v>
      </c>
      <c r="J87" s="30" t="s">
        <v>77</v>
      </c>
    </row>
    <row r="88" spans="1:10" ht="150" x14ac:dyDescent="0.25">
      <c r="A88" s="3"/>
      <c r="B88" s="27" t="s">
        <v>49</v>
      </c>
      <c r="C88" s="27" t="s">
        <v>158</v>
      </c>
      <c r="D88" s="27" t="s">
        <v>154</v>
      </c>
      <c r="E88" s="29">
        <v>0.14499999999999999</v>
      </c>
      <c r="F88" s="29">
        <v>0.13200000000000001</v>
      </c>
      <c r="G88" s="29">
        <v>1.2999999999999999E-2</v>
      </c>
      <c r="H88" s="3" t="s">
        <v>155</v>
      </c>
      <c r="I88" s="33" t="s">
        <v>173</v>
      </c>
      <c r="J88" s="30" t="s">
        <v>77</v>
      </c>
    </row>
    <row r="89" spans="1:10" ht="120" x14ac:dyDescent="0.25">
      <c r="A89" s="3"/>
      <c r="B89" s="27" t="s">
        <v>49</v>
      </c>
      <c r="C89" s="27" t="s">
        <v>160</v>
      </c>
      <c r="D89" s="27" t="s">
        <v>154</v>
      </c>
      <c r="E89" s="29">
        <v>0.152</v>
      </c>
      <c r="F89" s="29">
        <v>0.13800000000000001</v>
      </c>
      <c r="G89" s="29">
        <v>1.4E-2</v>
      </c>
      <c r="H89" s="3" t="s">
        <v>155</v>
      </c>
      <c r="I89" s="33" t="s">
        <v>174</v>
      </c>
      <c r="J89" s="30" t="s">
        <v>77</v>
      </c>
    </row>
    <row r="90" spans="1:10" ht="120" x14ac:dyDescent="0.25">
      <c r="A90" s="3"/>
      <c r="B90" s="27" t="s">
        <v>175</v>
      </c>
      <c r="C90" s="27" t="s">
        <v>158</v>
      </c>
      <c r="D90" s="27" t="s">
        <v>154</v>
      </c>
      <c r="E90" s="29">
        <v>0.129</v>
      </c>
      <c r="F90" s="29">
        <v>0.112</v>
      </c>
      <c r="G90" s="29">
        <v>1.7000000000000001E-2</v>
      </c>
      <c r="H90" s="3" t="s">
        <v>155</v>
      </c>
      <c r="I90" s="33" t="s">
        <v>176</v>
      </c>
      <c r="J90" s="30" t="s">
        <v>77</v>
      </c>
    </row>
    <row r="91" spans="1:10" ht="90" x14ac:dyDescent="0.25">
      <c r="A91" s="3"/>
      <c r="B91" s="27" t="s">
        <v>175</v>
      </c>
      <c r="C91" s="27" t="s">
        <v>160</v>
      </c>
      <c r="D91" s="27" t="s">
        <v>154</v>
      </c>
      <c r="E91" s="29">
        <v>0.13600000000000001</v>
      </c>
      <c r="F91" s="29">
        <v>0.11799999999999999</v>
      </c>
      <c r="G91" s="29">
        <v>1.7999999999999999E-2</v>
      </c>
      <c r="H91" s="3" t="s">
        <v>155</v>
      </c>
      <c r="I91" s="33" t="s">
        <v>177</v>
      </c>
      <c r="J91" s="30" t="s">
        <v>77</v>
      </c>
    </row>
    <row r="92" spans="1:10" ht="120" x14ac:dyDescent="0.25">
      <c r="A92" s="3"/>
      <c r="B92" s="27" t="s">
        <v>175</v>
      </c>
      <c r="C92" s="27" t="s">
        <v>162</v>
      </c>
      <c r="D92" s="27" t="s">
        <v>154</v>
      </c>
      <c r="E92" s="29">
        <v>0.17</v>
      </c>
      <c r="F92" s="29">
        <v>0.14699999999999999</v>
      </c>
      <c r="G92" s="29">
        <v>2.3E-2</v>
      </c>
      <c r="H92" s="3" t="s">
        <v>155</v>
      </c>
      <c r="I92" s="33" t="s">
        <v>178</v>
      </c>
      <c r="J92" s="30" t="s">
        <v>77</v>
      </c>
    </row>
    <row r="93" spans="1:10" ht="120" x14ac:dyDescent="0.25">
      <c r="A93" s="3"/>
      <c r="B93" s="27" t="s">
        <v>179</v>
      </c>
      <c r="C93" s="27" t="s">
        <v>180</v>
      </c>
      <c r="D93" s="27" t="s">
        <v>154</v>
      </c>
      <c r="E93" s="29">
        <v>5.3999999999999999E-2</v>
      </c>
      <c r="F93" s="29">
        <v>7.0000000000000001E-3</v>
      </c>
      <c r="G93" s="29">
        <v>4.7E-2</v>
      </c>
      <c r="H93" s="3" t="s">
        <v>155</v>
      </c>
      <c r="I93" s="33" t="s">
        <v>181</v>
      </c>
      <c r="J93" s="30" t="s">
        <v>77</v>
      </c>
    </row>
    <row r="94" spans="1:10" ht="120" x14ac:dyDescent="0.25">
      <c r="A94" s="3"/>
      <c r="B94" s="27" t="s">
        <v>182</v>
      </c>
      <c r="C94" s="27" t="s">
        <v>180</v>
      </c>
      <c r="D94" s="27" t="s">
        <v>154</v>
      </c>
      <c r="E94" s="29">
        <v>9.0999999999999998E-2</v>
      </c>
      <c r="F94" s="29">
        <v>3.7999999999999999E-2</v>
      </c>
      <c r="G94" s="29">
        <v>5.2999999999999999E-2</v>
      </c>
      <c r="H94" s="3" t="s">
        <v>155</v>
      </c>
      <c r="I94" s="33" t="s">
        <v>183</v>
      </c>
      <c r="J94" s="30" t="s">
        <v>77</v>
      </c>
    </row>
    <row r="95" spans="1:10" ht="120" x14ac:dyDescent="0.25">
      <c r="A95" s="3"/>
      <c r="B95" s="27" t="s">
        <v>184</v>
      </c>
      <c r="C95" s="27" t="s">
        <v>180</v>
      </c>
      <c r="D95" s="27" t="s">
        <v>154</v>
      </c>
      <c r="E95" s="29">
        <v>2.7E-2</v>
      </c>
      <c r="F95" s="29">
        <v>2E-3</v>
      </c>
      <c r="G95" s="29">
        <v>2.5000000000000001E-2</v>
      </c>
      <c r="H95" s="3" t="s">
        <v>155</v>
      </c>
      <c r="I95" s="33" t="s">
        <v>185</v>
      </c>
      <c r="J95" s="30" t="s">
        <v>77</v>
      </c>
    </row>
    <row r="96" spans="1:10" ht="135" x14ac:dyDescent="0.25">
      <c r="A96" s="3"/>
      <c r="B96" s="27" t="s">
        <v>186</v>
      </c>
      <c r="C96" s="27" t="s">
        <v>180</v>
      </c>
      <c r="D96" s="27" t="s">
        <v>154</v>
      </c>
      <c r="E96" s="29">
        <v>1.7999999999999999E-2</v>
      </c>
      <c r="F96" s="29">
        <v>2E-3</v>
      </c>
      <c r="G96" s="29">
        <v>1.6E-2</v>
      </c>
      <c r="H96" s="3" t="s">
        <v>155</v>
      </c>
      <c r="I96" s="33" t="s">
        <v>187</v>
      </c>
      <c r="J96" s="30" t="s">
        <v>77</v>
      </c>
    </row>
    <row r="97" spans="1:10" ht="90" x14ac:dyDescent="0.25">
      <c r="A97" s="3"/>
      <c r="B97" s="27" t="s">
        <v>50</v>
      </c>
      <c r="C97" s="27" t="s">
        <v>180</v>
      </c>
      <c r="D97" s="27" t="s">
        <v>154</v>
      </c>
      <c r="E97" s="26">
        <v>0.112</v>
      </c>
      <c r="F97" s="26">
        <v>0</v>
      </c>
      <c r="G97" s="26">
        <v>0.112</v>
      </c>
      <c r="H97" s="3" t="s">
        <v>188</v>
      </c>
      <c r="I97" s="27" t="s">
        <v>189</v>
      </c>
      <c r="J97" s="3" t="s">
        <v>114</v>
      </c>
    </row>
    <row r="98" spans="1:10" ht="90" x14ac:dyDescent="0.25">
      <c r="A98" s="3"/>
      <c r="B98" s="27" t="s">
        <v>52</v>
      </c>
      <c r="C98" s="27" t="s">
        <v>180</v>
      </c>
      <c r="D98" s="27" t="s">
        <v>154</v>
      </c>
      <c r="E98" s="26">
        <v>7.0000000000000001E-3</v>
      </c>
      <c r="F98" s="26">
        <v>0</v>
      </c>
      <c r="G98" s="26">
        <v>7.0000000000000001E-3</v>
      </c>
      <c r="H98" s="3" t="s">
        <v>188</v>
      </c>
      <c r="I98" s="27" t="s">
        <v>189</v>
      </c>
      <c r="J98" s="3" t="s">
        <v>104</v>
      </c>
    </row>
    <row r="99" spans="1:10" ht="150" x14ac:dyDescent="0.25">
      <c r="A99" s="3"/>
      <c r="B99" s="27" t="s">
        <v>190</v>
      </c>
      <c r="C99" s="27" t="s">
        <v>129</v>
      </c>
      <c r="D99" s="27" t="s">
        <v>154</v>
      </c>
      <c r="E99" s="29">
        <v>0.104</v>
      </c>
      <c r="F99" s="29">
        <v>0</v>
      </c>
      <c r="G99" s="29">
        <v>0.104</v>
      </c>
      <c r="H99" s="3" t="s">
        <v>155</v>
      </c>
      <c r="I99" s="33" t="s">
        <v>191</v>
      </c>
      <c r="J99" s="30" t="s">
        <v>77</v>
      </c>
    </row>
    <row r="100" spans="1:10" ht="165" x14ac:dyDescent="0.25">
      <c r="A100" s="3"/>
      <c r="B100" s="27" t="s">
        <v>190</v>
      </c>
      <c r="C100" s="27" t="s">
        <v>192</v>
      </c>
      <c r="D100" s="27" t="s">
        <v>154</v>
      </c>
      <c r="E100" s="29">
        <v>8.5000000000000006E-2</v>
      </c>
      <c r="F100" s="29">
        <v>0</v>
      </c>
      <c r="G100" s="29">
        <v>8.5000000000000006E-2</v>
      </c>
      <c r="H100" s="3" t="s">
        <v>155</v>
      </c>
      <c r="I100" s="33" t="s">
        <v>193</v>
      </c>
      <c r="J100" s="30" t="s">
        <v>77</v>
      </c>
    </row>
    <row r="101" spans="1:10" ht="150" x14ac:dyDescent="0.25">
      <c r="A101" s="3"/>
      <c r="B101" s="27" t="s">
        <v>190</v>
      </c>
      <c r="C101" s="27" t="s">
        <v>194</v>
      </c>
      <c r="D101" s="27" t="s">
        <v>154</v>
      </c>
      <c r="E101" s="29">
        <v>3.0000000000000001E-3</v>
      </c>
      <c r="F101" s="29">
        <v>0</v>
      </c>
      <c r="G101" s="29">
        <v>3.0000000000000001E-3</v>
      </c>
      <c r="H101" s="3" t="s">
        <v>155</v>
      </c>
      <c r="I101" s="33" t="s">
        <v>195</v>
      </c>
      <c r="J101" s="30" t="s">
        <v>77</v>
      </c>
    </row>
    <row r="102" spans="1:10" ht="30" x14ac:dyDescent="0.25">
      <c r="A102" s="3" t="s">
        <v>196</v>
      </c>
      <c r="B102" s="27" t="s">
        <v>190</v>
      </c>
      <c r="C102" s="27" t="s">
        <v>129</v>
      </c>
      <c r="D102" s="27" t="s">
        <v>154</v>
      </c>
      <c r="E102" s="26">
        <v>6.0000000000000001E-3</v>
      </c>
      <c r="F102" s="26">
        <v>0</v>
      </c>
      <c r="G102" s="26">
        <v>6.0000000000000001E-3</v>
      </c>
      <c r="H102" s="3" t="s">
        <v>197</v>
      </c>
      <c r="I102" s="27" t="s">
        <v>198</v>
      </c>
      <c r="J102" s="3" t="s">
        <v>104</v>
      </c>
    </row>
    <row r="103" spans="1:10" ht="30" x14ac:dyDescent="0.25">
      <c r="A103" s="3" t="s">
        <v>199</v>
      </c>
      <c r="B103" s="27"/>
      <c r="C103" s="27" t="s">
        <v>168</v>
      </c>
      <c r="D103" s="27" t="s">
        <v>154</v>
      </c>
      <c r="E103" s="26">
        <v>0.29799999999999999</v>
      </c>
      <c r="F103" s="26">
        <v>0.24</v>
      </c>
      <c r="G103" s="26">
        <v>5.8000000000000003E-2</v>
      </c>
      <c r="H103" s="3" t="s">
        <v>197</v>
      </c>
      <c r="I103" s="27" t="s">
        <v>200</v>
      </c>
      <c r="J103" s="3" t="s">
        <v>201</v>
      </c>
    </row>
    <row r="104" spans="1:10" ht="30" x14ac:dyDescent="0.25">
      <c r="A104" s="3" t="s">
        <v>202</v>
      </c>
      <c r="B104" s="27"/>
      <c r="C104" s="27" t="s">
        <v>157</v>
      </c>
      <c r="D104" s="27" t="s">
        <v>154</v>
      </c>
      <c r="E104" s="26">
        <v>0.312</v>
      </c>
      <c r="F104" s="26">
        <v>0.252</v>
      </c>
      <c r="G104" s="26">
        <v>0.06</v>
      </c>
      <c r="H104" s="3" t="s">
        <v>197</v>
      </c>
      <c r="I104" s="27" t="s">
        <v>200</v>
      </c>
      <c r="J104" s="3" t="s">
        <v>201</v>
      </c>
    </row>
    <row r="105" spans="1:10" ht="30" x14ac:dyDescent="0.25">
      <c r="A105" s="3" t="s">
        <v>202</v>
      </c>
      <c r="B105" s="27"/>
      <c r="C105" s="27" t="s">
        <v>49</v>
      </c>
      <c r="D105" s="27" t="s">
        <v>154</v>
      </c>
      <c r="E105" s="26">
        <v>0.27400000000000002</v>
      </c>
      <c r="F105" s="26">
        <v>0.221</v>
      </c>
      <c r="G105" s="26">
        <v>5.2999999999999999E-2</v>
      </c>
      <c r="H105" s="3" t="s">
        <v>197</v>
      </c>
      <c r="I105" s="27" t="s">
        <v>200</v>
      </c>
      <c r="J105" s="3" t="s">
        <v>201</v>
      </c>
    </row>
    <row r="106" spans="1:10" ht="45" x14ac:dyDescent="0.25">
      <c r="A106" s="3" t="s">
        <v>203</v>
      </c>
      <c r="B106" s="27"/>
      <c r="C106" s="27" t="s">
        <v>168</v>
      </c>
      <c r="D106" s="27" t="s">
        <v>204</v>
      </c>
      <c r="E106" s="26">
        <v>3.3000000000000002E-2</v>
      </c>
      <c r="F106" s="26">
        <v>2.7E-2</v>
      </c>
      <c r="G106" s="26">
        <v>6.0000000000000001E-3</v>
      </c>
      <c r="H106" s="3" t="s">
        <v>197</v>
      </c>
      <c r="I106" s="27" t="s">
        <v>205</v>
      </c>
      <c r="J106" s="3" t="s">
        <v>201</v>
      </c>
    </row>
    <row r="107" spans="1:10" ht="30" x14ac:dyDescent="0.25">
      <c r="A107" s="3"/>
      <c r="B107" s="27"/>
      <c r="C107" s="27" t="s">
        <v>168</v>
      </c>
      <c r="D107" s="27" t="s">
        <v>154</v>
      </c>
      <c r="E107" s="26">
        <v>1.0429999999999999</v>
      </c>
      <c r="F107" s="26">
        <v>0.85299999999999998</v>
      </c>
      <c r="G107" s="26">
        <v>0.19</v>
      </c>
      <c r="H107" s="3" t="s">
        <v>197</v>
      </c>
      <c r="I107" s="27"/>
      <c r="J107" s="3" t="s">
        <v>201</v>
      </c>
    </row>
    <row r="108" spans="1:10" ht="33.75" customHeight="1" x14ac:dyDescent="0.25">
      <c r="A108" s="3" t="s">
        <v>206</v>
      </c>
      <c r="B108" s="302" t="s">
        <v>207</v>
      </c>
      <c r="C108" s="303"/>
      <c r="D108" s="27" t="s">
        <v>204</v>
      </c>
      <c r="E108" s="26">
        <v>1.4999999999999999E-2</v>
      </c>
      <c r="F108" s="26">
        <v>1.0999999999999999E-2</v>
      </c>
      <c r="G108" s="26">
        <v>4.0000000000000001E-3</v>
      </c>
      <c r="H108" s="3" t="s">
        <v>208</v>
      </c>
      <c r="I108" s="27" t="s">
        <v>209</v>
      </c>
      <c r="J108" s="3" t="s">
        <v>21</v>
      </c>
    </row>
    <row r="109" spans="1:10" ht="33.75" customHeight="1" x14ac:dyDescent="0.25">
      <c r="A109" s="3"/>
      <c r="B109" s="27" t="s">
        <v>210</v>
      </c>
      <c r="C109" s="3" t="s">
        <v>180</v>
      </c>
      <c r="D109" s="27" t="s">
        <v>204</v>
      </c>
      <c r="E109" s="3">
        <v>7.0999999999999994E-2</v>
      </c>
      <c r="F109" s="3">
        <v>5.1999999999999998E-2</v>
      </c>
      <c r="G109" s="3">
        <v>1.9E-2</v>
      </c>
      <c r="H109" s="3" t="s">
        <v>208</v>
      </c>
      <c r="I109" s="3" t="s">
        <v>211</v>
      </c>
      <c r="J109" s="3" t="s">
        <v>36</v>
      </c>
    </row>
    <row r="110" spans="1:10" ht="30" x14ac:dyDescent="0.25">
      <c r="A110" s="3" t="s">
        <v>212</v>
      </c>
      <c r="B110" s="302" t="s">
        <v>213</v>
      </c>
      <c r="C110" s="303"/>
      <c r="D110" s="27" t="s">
        <v>204</v>
      </c>
      <c r="E110" s="26">
        <v>2E-3</v>
      </c>
      <c r="F110" s="26">
        <v>2E-3</v>
      </c>
      <c r="G110" s="26">
        <v>1E-3</v>
      </c>
      <c r="H110" s="3" t="s">
        <v>208</v>
      </c>
      <c r="I110" s="27" t="s">
        <v>214</v>
      </c>
      <c r="J110" s="3" t="s">
        <v>21</v>
      </c>
    </row>
    <row r="111" spans="1:10" ht="30" x14ac:dyDescent="0.25">
      <c r="A111" s="3"/>
      <c r="B111" s="302" t="s">
        <v>215</v>
      </c>
      <c r="C111" s="303"/>
      <c r="D111" s="27" t="s">
        <v>204</v>
      </c>
      <c r="E111" s="26">
        <v>0.09</v>
      </c>
      <c r="F111" s="26">
        <v>6.9000000000000006E-2</v>
      </c>
      <c r="G111" s="26">
        <v>2.1999999999999999E-2</v>
      </c>
      <c r="H111" s="3" t="s">
        <v>208</v>
      </c>
      <c r="I111" s="27" t="s">
        <v>216</v>
      </c>
      <c r="J111" s="3" t="s">
        <v>21</v>
      </c>
    </row>
    <row r="112" spans="1:10" ht="45" x14ac:dyDescent="0.25">
      <c r="A112" s="3"/>
      <c r="B112" s="302" t="s">
        <v>217</v>
      </c>
      <c r="C112" s="303"/>
      <c r="D112" s="27" t="s">
        <v>204</v>
      </c>
      <c r="E112" s="26">
        <v>0</v>
      </c>
      <c r="F112" s="26">
        <v>0</v>
      </c>
      <c r="G112" s="26">
        <v>0</v>
      </c>
      <c r="H112" s="3" t="s">
        <v>208</v>
      </c>
      <c r="I112" s="27" t="s">
        <v>218</v>
      </c>
      <c r="J112" s="3" t="s">
        <v>21</v>
      </c>
    </row>
    <row r="113" spans="1:12" ht="90" x14ac:dyDescent="0.25">
      <c r="A113" s="3"/>
      <c r="B113" s="302" t="s">
        <v>219</v>
      </c>
      <c r="C113" s="303"/>
      <c r="D113" s="27" t="s">
        <v>204</v>
      </c>
      <c r="E113" s="26">
        <v>2.5999999999999999E-2</v>
      </c>
      <c r="F113" s="26">
        <v>0</v>
      </c>
      <c r="G113" s="26">
        <v>2.5999999999999999E-2</v>
      </c>
      <c r="H113" s="3" t="s">
        <v>220</v>
      </c>
      <c r="I113" s="27" t="s">
        <v>221</v>
      </c>
      <c r="J113" s="3" t="s">
        <v>222</v>
      </c>
    </row>
    <row r="114" spans="1:12" ht="30" x14ac:dyDescent="0.25">
      <c r="A114" s="3" t="s">
        <v>223</v>
      </c>
      <c r="B114" s="302" t="s">
        <v>224</v>
      </c>
      <c r="C114" s="303"/>
      <c r="D114" s="27" t="s">
        <v>204</v>
      </c>
      <c r="E114" s="26">
        <v>0.10299999999999999</v>
      </c>
      <c r="F114" s="26"/>
      <c r="G114" s="26"/>
      <c r="H114" s="3" t="s">
        <v>208</v>
      </c>
      <c r="I114" s="27" t="s">
        <v>225</v>
      </c>
      <c r="J114" s="3" t="s">
        <v>21</v>
      </c>
    </row>
    <row r="115" spans="1:12" ht="30" x14ac:dyDescent="0.25">
      <c r="A115" s="3"/>
      <c r="B115" s="302" t="s">
        <v>226</v>
      </c>
      <c r="C115" s="303"/>
      <c r="D115" s="27" t="s">
        <v>204</v>
      </c>
      <c r="E115" s="26">
        <v>0.129</v>
      </c>
      <c r="F115" s="26">
        <v>9.8000000000000004E-2</v>
      </c>
      <c r="G115" s="26">
        <v>3.1E-2</v>
      </c>
      <c r="H115" s="3" t="s">
        <v>208</v>
      </c>
      <c r="I115" s="27" t="s">
        <v>227</v>
      </c>
      <c r="J115" s="3" t="s">
        <v>21</v>
      </c>
    </row>
    <row r="116" spans="1:12" ht="45" x14ac:dyDescent="0.25">
      <c r="A116" s="3"/>
      <c r="B116" s="302" t="s">
        <v>228</v>
      </c>
      <c r="C116" s="303"/>
      <c r="D116" s="27" t="s">
        <v>204</v>
      </c>
      <c r="E116" s="26">
        <v>5.5E-2</v>
      </c>
      <c r="F116" s="26">
        <v>7.0000000000000001E-3</v>
      </c>
      <c r="G116" s="26">
        <v>4.8000000000000001E-2</v>
      </c>
      <c r="H116" s="3" t="s">
        <v>208</v>
      </c>
      <c r="I116" s="27" t="s">
        <v>229</v>
      </c>
      <c r="J116" s="3" t="s">
        <v>21</v>
      </c>
    </row>
    <row r="117" spans="1:12" ht="30" x14ac:dyDescent="0.25">
      <c r="A117" s="3"/>
      <c r="B117" s="302" t="s">
        <v>230</v>
      </c>
      <c r="C117" s="303"/>
      <c r="D117" s="27" t="s">
        <v>204</v>
      </c>
      <c r="E117" s="26">
        <v>0.11600000000000001</v>
      </c>
      <c r="F117" s="26">
        <v>0</v>
      </c>
      <c r="G117" s="26">
        <v>0.11600000000000001</v>
      </c>
      <c r="H117" s="3" t="s">
        <v>208</v>
      </c>
      <c r="I117" s="27" t="s">
        <v>231</v>
      </c>
      <c r="J117" s="3" t="s">
        <v>21</v>
      </c>
    </row>
    <row r="118" spans="1:12" ht="30" x14ac:dyDescent="0.25">
      <c r="A118" s="3"/>
      <c r="B118" s="302" t="s">
        <v>232</v>
      </c>
      <c r="C118" s="303"/>
      <c r="D118" s="27" t="s">
        <v>204</v>
      </c>
      <c r="E118" s="26">
        <v>0</v>
      </c>
      <c r="F118" s="26">
        <v>0</v>
      </c>
      <c r="G118" s="26">
        <v>0</v>
      </c>
      <c r="H118" s="3" t="s">
        <v>208</v>
      </c>
      <c r="I118" s="27" t="s">
        <v>233</v>
      </c>
      <c r="J118" s="3" t="s">
        <v>21</v>
      </c>
    </row>
    <row r="119" spans="1:12" ht="30" x14ac:dyDescent="0.25">
      <c r="A119" s="3" t="s">
        <v>234</v>
      </c>
      <c r="B119" s="302" t="s">
        <v>190</v>
      </c>
      <c r="C119" s="303"/>
      <c r="D119" s="27" t="s">
        <v>204</v>
      </c>
      <c r="E119" s="26">
        <v>0</v>
      </c>
      <c r="F119" s="26">
        <v>0</v>
      </c>
      <c r="G119" s="26">
        <v>0</v>
      </c>
      <c r="H119" s="3" t="s">
        <v>208</v>
      </c>
      <c r="I119" s="27" t="s">
        <v>233</v>
      </c>
      <c r="J119" s="3" t="s">
        <v>21</v>
      </c>
    </row>
    <row r="120" spans="1:12" ht="30" x14ac:dyDescent="0.25">
      <c r="A120" s="3" t="s">
        <v>235</v>
      </c>
      <c r="B120" s="302" t="s">
        <v>190</v>
      </c>
      <c r="C120" s="303"/>
      <c r="D120" s="27" t="s">
        <v>204</v>
      </c>
      <c r="E120" s="26">
        <v>0</v>
      </c>
      <c r="F120" s="26">
        <v>0</v>
      </c>
      <c r="G120" s="26">
        <v>0</v>
      </c>
      <c r="H120" s="3" t="s">
        <v>208</v>
      </c>
      <c r="I120" s="27" t="s">
        <v>233</v>
      </c>
      <c r="J120" s="3" t="s">
        <v>21</v>
      </c>
    </row>
    <row r="121" spans="1:12" ht="150" x14ac:dyDescent="0.25">
      <c r="A121" s="3" t="s">
        <v>236</v>
      </c>
      <c r="B121" s="27" t="s">
        <v>237</v>
      </c>
      <c r="C121" s="27" t="s">
        <v>238</v>
      </c>
      <c r="D121" s="27" t="s">
        <v>204</v>
      </c>
      <c r="E121" s="29">
        <v>0.23400000000000001</v>
      </c>
      <c r="F121" s="29">
        <v>0.20200000000000001</v>
      </c>
      <c r="G121" s="29">
        <v>3.2000000000000001E-2</v>
      </c>
      <c r="H121" s="30" t="s">
        <v>239</v>
      </c>
      <c r="I121" s="33" t="s">
        <v>240</v>
      </c>
      <c r="J121" s="30" t="s">
        <v>77</v>
      </c>
      <c r="L121" s="41"/>
    </row>
    <row r="122" spans="1:12" ht="150" x14ac:dyDescent="0.25">
      <c r="A122" s="3"/>
      <c r="B122" s="27" t="s">
        <v>241</v>
      </c>
      <c r="C122" s="27" t="s">
        <v>242</v>
      </c>
      <c r="D122" s="27" t="s">
        <v>204</v>
      </c>
      <c r="E122" s="29">
        <v>0.17199999999999999</v>
      </c>
      <c r="F122" s="29">
        <v>0.152</v>
      </c>
      <c r="G122" s="29">
        <v>2.1000000000000001E-2</v>
      </c>
      <c r="H122" s="30" t="s">
        <v>239</v>
      </c>
      <c r="I122" s="33" t="s">
        <v>240</v>
      </c>
      <c r="J122" s="30" t="s">
        <v>77</v>
      </c>
      <c r="L122" s="41"/>
    </row>
    <row r="123" spans="1:12" ht="150" x14ac:dyDescent="0.25">
      <c r="A123" s="3"/>
      <c r="B123" s="27" t="s">
        <v>243</v>
      </c>
      <c r="C123" s="27" t="s">
        <v>244</v>
      </c>
      <c r="D123" s="27" t="s">
        <v>204</v>
      </c>
      <c r="E123" s="29">
        <v>0.157</v>
      </c>
      <c r="F123" s="29">
        <v>0.14000000000000001</v>
      </c>
      <c r="G123" s="29">
        <v>1.7999999999999999E-2</v>
      </c>
      <c r="H123" s="30" t="s">
        <v>239</v>
      </c>
      <c r="I123" s="33" t="s">
        <v>240</v>
      </c>
      <c r="J123" s="30" t="s">
        <v>77</v>
      </c>
    </row>
    <row r="124" spans="1:12" ht="150" x14ac:dyDescent="0.25">
      <c r="A124" s="3"/>
      <c r="B124" s="33" t="s">
        <v>245</v>
      </c>
      <c r="C124" s="33"/>
      <c r="D124" s="33" t="s">
        <v>204</v>
      </c>
      <c r="E124" s="30">
        <v>0.182</v>
      </c>
      <c r="F124" s="30">
        <v>0.16</v>
      </c>
      <c r="G124" s="30">
        <v>2.1999999999999999E-2</v>
      </c>
      <c r="H124" s="30" t="s">
        <v>239</v>
      </c>
      <c r="I124" s="33" t="s">
        <v>240</v>
      </c>
      <c r="J124" s="30" t="s">
        <v>77</v>
      </c>
    </row>
    <row r="125" spans="1:12" ht="22.5" customHeight="1" x14ac:dyDescent="0.15">
      <c r="A125" s="304" t="s">
        <v>246</v>
      </c>
      <c r="B125" s="304"/>
      <c r="C125" s="304"/>
      <c r="D125" s="304"/>
      <c r="E125" s="304"/>
      <c r="F125" s="304"/>
      <c r="G125" s="304"/>
      <c r="H125" s="304"/>
      <c r="I125" s="304"/>
      <c r="J125" s="304"/>
    </row>
    <row r="126" spans="1:12" ht="30" x14ac:dyDescent="0.25">
      <c r="A126" s="3" t="s">
        <v>247</v>
      </c>
      <c r="B126" s="27" t="s">
        <v>248</v>
      </c>
      <c r="C126" s="27" t="s">
        <v>249</v>
      </c>
      <c r="D126" s="27" t="s">
        <v>250</v>
      </c>
      <c r="E126" s="26">
        <v>1.3260000000000001</v>
      </c>
      <c r="F126" s="26">
        <v>1.0049999999999999</v>
      </c>
      <c r="G126" s="26">
        <v>0.32100000000000001</v>
      </c>
      <c r="H126" s="3" t="s">
        <v>251</v>
      </c>
      <c r="I126" s="27" t="s">
        <v>252</v>
      </c>
      <c r="J126" s="3" t="s">
        <v>21</v>
      </c>
    </row>
    <row r="127" spans="1:12" ht="45" x14ac:dyDescent="0.25">
      <c r="A127" s="3"/>
      <c r="B127" s="27" t="s">
        <v>253</v>
      </c>
      <c r="C127" s="27" t="s">
        <v>254</v>
      </c>
      <c r="D127" s="27" t="s">
        <v>250</v>
      </c>
      <c r="E127" s="26">
        <v>0.36299999999999999</v>
      </c>
      <c r="F127" s="26">
        <v>0.27500000000000002</v>
      </c>
      <c r="G127" s="26">
        <v>8.7999999999999995E-2</v>
      </c>
      <c r="H127" s="3" t="s">
        <v>255</v>
      </c>
      <c r="I127" s="27" t="s">
        <v>256</v>
      </c>
      <c r="J127" s="3" t="s">
        <v>21</v>
      </c>
    </row>
    <row r="128" spans="1:12" ht="45" x14ac:dyDescent="0.25">
      <c r="A128" s="3"/>
      <c r="B128" s="27"/>
      <c r="C128" s="27" t="s">
        <v>257</v>
      </c>
      <c r="D128" s="27" t="s">
        <v>250</v>
      </c>
      <c r="E128" s="26">
        <v>0.25600000000000001</v>
      </c>
      <c r="F128" s="26">
        <v>0.19400000000000001</v>
      </c>
      <c r="G128" s="26">
        <v>6.2E-2</v>
      </c>
      <c r="H128" s="3" t="s">
        <v>255</v>
      </c>
      <c r="I128" s="27" t="s">
        <v>258</v>
      </c>
      <c r="J128" s="3" t="s">
        <v>21</v>
      </c>
    </row>
    <row r="129" spans="1:10" ht="45" x14ac:dyDescent="0.25">
      <c r="A129" s="3"/>
      <c r="B129" s="27"/>
      <c r="C129" s="27" t="s">
        <v>259</v>
      </c>
      <c r="D129" s="27" t="s">
        <v>250</v>
      </c>
      <c r="E129" s="26">
        <v>0.105</v>
      </c>
      <c r="F129" s="26">
        <v>0.08</v>
      </c>
      <c r="G129" s="26">
        <v>2.5000000000000001E-2</v>
      </c>
      <c r="H129" s="3" t="s">
        <v>255</v>
      </c>
      <c r="I129" s="27" t="s">
        <v>260</v>
      </c>
      <c r="J129" s="3" t="s">
        <v>21</v>
      </c>
    </row>
    <row r="130" spans="1:10" ht="30" x14ac:dyDescent="0.25">
      <c r="A130" s="3"/>
      <c r="B130" s="27"/>
      <c r="C130" s="27" t="s">
        <v>261</v>
      </c>
      <c r="D130" s="27" t="s">
        <v>250</v>
      </c>
      <c r="E130" s="26">
        <v>8.7999999999999995E-2</v>
      </c>
      <c r="F130" s="26">
        <v>6.7000000000000004E-2</v>
      </c>
      <c r="G130" s="26">
        <v>2.1000000000000001E-2</v>
      </c>
      <c r="H130" s="3" t="s">
        <v>255</v>
      </c>
      <c r="I130" s="27" t="s">
        <v>262</v>
      </c>
      <c r="J130" s="3" t="s">
        <v>21</v>
      </c>
    </row>
    <row r="131" spans="1:10" ht="30" x14ac:dyDescent="0.25">
      <c r="A131" s="3"/>
      <c r="B131" s="27"/>
      <c r="C131" s="27" t="s">
        <v>263</v>
      </c>
      <c r="D131" s="27" t="s">
        <v>250</v>
      </c>
      <c r="E131" s="26">
        <v>8.5000000000000006E-2</v>
      </c>
      <c r="F131" s="26">
        <v>6.5000000000000002E-2</v>
      </c>
      <c r="G131" s="26">
        <v>2.1000000000000001E-2</v>
      </c>
      <c r="H131" s="3" t="s">
        <v>255</v>
      </c>
      <c r="I131" s="27" t="s">
        <v>264</v>
      </c>
      <c r="J131" s="3" t="s">
        <v>21</v>
      </c>
    </row>
    <row r="132" spans="1:10" ht="30" x14ac:dyDescent="0.25">
      <c r="A132" s="3"/>
      <c r="B132" s="27" t="s">
        <v>212</v>
      </c>
      <c r="C132" s="27" t="s">
        <v>168</v>
      </c>
      <c r="D132" s="27" t="s">
        <v>250</v>
      </c>
      <c r="E132" s="26">
        <v>1.7000000000000001E-2</v>
      </c>
      <c r="F132" s="26">
        <v>1.2999999999999999E-2</v>
      </c>
      <c r="G132" s="26">
        <v>4.0000000000000001E-3</v>
      </c>
      <c r="H132" s="3" t="s">
        <v>265</v>
      </c>
      <c r="I132" s="27" t="s">
        <v>266</v>
      </c>
      <c r="J132" s="3" t="s">
        <v>21</v>
      </c>
    </row>
    <row r="133" spans="1:10" ht="30" x14ac:dyDescent="0.25">
      <c r="A133" s="3"/>
      <c r="B133" s="27"/>
      <c r="C133" s="27" t="s">
        <v>190</v>
      </c>
      <c r="D133" s="27" t="s">
        <v>250</v>
      </c>
      <c r="E133" s="26">
        <v>8.9999999999999993E-3</v>
      </c>
      <c r="F133" s="26">
        <v>0</v>
      </c>
      <c r="G133" s="26">
        <v>8.9999999999999993E-3</v>
      </c>
      <c r="H133" s="3" t="s">
        <v>265</v>
      </c>
      <c r="I133" s="27" t="s">
        <v>266</v>
      </c>
      <c r="J133" s="3" t="s">
        <v>21</v>
      </c>
    </row>
    <row r="134" spans="1:10" ht="30" x14ac:dyDescent="0.25">
      <c r="A134" s="3"/>
      <c r="B134" s="27"/>
      <c r="C134" s="27" t="s">
        <v>267</v>
      </c>
      <c r="D134" s="27" t="s">
        <v>250</v>
      </c>
      <c r="E134" s="26">
        <v>1.0999999999999999E-2</v>
      </c>
      <c r="F134" s="26">
        <v>4.0000000000000001E-3</v>
      </c>
      <c r="G134" s="26">
        <v>8.0000000000000002E-3</v>
      </c>
      <c r="H134" s="3" t="s">
        <v>19</v>
      </c>
      <c r="I134" s="27" t="s">
        <v>268</v>
      </c>
      <c r="J134" s="3" t="s">
        <v>21</v>
      </c>
    </row>
    <row r="135" spans="1:10" ht="60" x14ac:dyDescent="0.25">
      <c r="A135" s="3"/>
      <c r="B135" s="27" t="s">
        <v>269</v>
      </c>
      <c r="C135" s="27" t="s">
        <v>270</v>
      </c>
      <c r="D135" s="27" t="s">
        <v>250</v>
      </c>
      <c r="E135" s="26">
        <v>4.1000000000000002E-2</v>
      </c>
      <c r="F135" s="26">
        <v>3.1E-2</v>
      </c>
      <c r="G135" s="26">
        <v>0.01</v>
      </c>
      <c r="H135" s="3" t="s">
        <v>271</v>
      </c>
      <c r="I135" s="27" t="s">
        <v>272</v>
      </c>
      <c r="J135" s="3" t="s">
        <v>21</v>
      </c>
    </row>
    <row r="136" spans="1:10" ht="60" x14ac:dyDescent="0.25">
      <c r="A136" s="3"/>
      <c r="B136" s="27"/>
      <c r="C136" s="27" t="s">
        <v>273</v>
      </c>
      <c r="D136" s="27" t="s">
        <v>250</v>
      </c>
      <c r="E136" s="26">
        <v>3.1E-2</v>
      </c>
      <c r="F136" s="26">
        <v>2.3E-2</v>
      </c>
      <c r="G136" s="26">
        <v>7.0000000000000001E-3</v>
      </c>
      <c r="H136" s="3" t="s">
        <v>271</v>
      </c>
      <c r="I136" s="27" t="s">
        <v>274</v>
      </c>
      <c r="J136" s="3" t="s">
        <v>21</v>
      </c>
    </row>
    <row r="137" spans="1:10" ht="60" x14ac:dyDescent="0.25">
      <c r="A137" s="3"/>
      <c r="B137" s="27"/>
      <c r="C137" s="27" t="s">
        <v>275</v>
      </c>
      <c r="D137" s="27" t="s">
        <v>250</v>
      </c>
      <c r="E137" s="26">
        <v>2.1000000000000001E-2</v>
      </c>
      <c r="F137" s="26">
        <v>1.6E-2</v>
      </c>
      <c r="G137" s="26">
        <v>5.0000000000000001E-3</v>
      </c>
      <c r="H137" s="3" t="s">
        <v>271</v>
      </c>
      <c r="I137" s="27" t="s">
        <v>276</v>
      </c>
      <c r="J137" s="3" t="s">
        <v>21</v>
      </c>
    </row>
    <row r="138" spans="1:10" ht="90" x14ac:dyDescent="0.25">
      <c r="A138" s="3"/>
      <c r="B138" s="27"/>
      <c r="C138" s="27" t="s">
        <v>277</v>
      </c>
      <c r="D138" s="27" t="s">
        <v>250</v>
      </c>
      <c r="E138" s="26">
        <v>3.1E-2</v>
      </c>
      <c r="F138" s="26">
        <v>2.3E-2</v>
      </c>
      <c r="G138" s="26">
        <v>7.0000000000000001E-3</v>
      </c>
      <c r="H138" s="3" t="s">
        <v>271</v>
      </c>
      <c r="I138" s="27" t="s">
        <v>278</v>
      </c>
      <c r="J138" s="3" t="s">
        <v>21</v>
      </c>
    </row>
    <row r="139" spans="1:10" ht="45" x14ac:dyDescent="0.25">
      <c r="A139" s="3"/>
      <c r="B139" s="27" t="s">
        <v>279</v>
      </c>
      <c r="C139" s="27" t="s">
        <v>280</v>
      </c>
      <c r="D139" s="27" t="s">
        <v>250</v>
      </c>
      <c r="E139" s="26">
        <v>2.1999999999999999E-2</v>
      </c>
      <c r="F139" s="26">
        <v>1.7999999999999999E-2</v>
      </c>
      <c r="G139" s="26">
        <v>4.0000000000000001E-3</v>
      </c>
      <c r="H139" s="3" t="s">
        <v>281</v>
      </c>
      <c r="I139" s="27" t="s">
        <v>282</v>
      </c>
      <c r="J139" s="3" t="s">
        <v>21</v>
      </c>
    </row>
    <row r="140" spans="1:10" ht="45" x14ac:dyDescent="0.25">
      <c r="A140" s="3"/>
      <c r="B140" s="27"/>
      <c r="C140" s="27" t="s">
        <v>283</v>
      </c>
      <c r="D140" s="27" t="s">
        <v>250</v>
      </c>
      <c r="E140" s="26">
        <v>7.0000000000000001E-3</v>
      </c>
      <c r="F140" s="26">
        <v>5.0000000000000001E-3</v>
      </c>
      <c r="G140" s="26">
        <v>1E-3</v>
      </c>
      <c r="H140" s="3" t="s">
        <v>281</v>
      </c>
      <c r="I140" s="27" t="s">
        <v>284</v>
      </c>
      <c r="J140" s="3" t="s">
        <v>21</v>
      </c>
    </row>
    <row r="141" spans="1:10" ht="45" x14ac:dyDescent="0.25">
      <c r="A141" s="3"/>
      <c r="B141" s="27"/>
      <c r="C141" s="27" t="s">
        <v>285</v>
      </c>
      <c r="D141" s="27" t="s">
        <v>250</v>
      </c>
      <c r="E141" s="26">
        <v>7.0000000000000001E-3</v>
      </c>
      <c r="F141" s="26">
        <v>5.0000000000000001E-3</v>
      </c>
      <c r="G141" s="26">
        <v>1E-3</v>
      </c>
      <c r="H141" s="3" t="s">
        <v>281</v>
      </c>
      <c r="I141" s="27" t="s">
        <v>286</v>
      </c>
      <c r="J141" s="3" t="s">
        <v>21</v>
      </c>
    </row>
    <row r="142" spans="1:10" ht="30" x14ac:dyDescent="0.25">
      <c r="A142" s="3"/>
      <c r="B142" s="27" t="s">
        <v>287</v>
      </c>
      <c r="C142" s="27" t="s">
        <v>288</v>
      </c>
      <c r="D142" s="27" t="s">
        <v>250</v>
      </c>
      <c r="E142" s="26">
        <v>0.55000000000000004</v>
      </c>
      <c r="F142" s="26">
        <v>0.43099999999999999</v>
      </c>
      <c r="G142" s="26">
        <v>0.11899999999999999</v>
      </c>
      <c r="H142" s="3" t="s">
        <v>289</v>
      </c>
      <c r="I142" s="27" t="s">
        <v>290</v>
      </c>
      <c r="J142" s="3" t="s">
        <v>21</v>
      </c>
    </row>
    <row r="143" spans="1:10" ht="30" x14ac:dyDescent="0.25">
      <c r="A143" s="3" t="s">
        <v>291</v>
      </c>
      <c r="B143" s="27" t="s">
        <v>253</v>
      </c>
      <c r="C143" s="27" t="s">
        <v>292</v>
      </c>
      <c r="D143" s="27" t="s">
        <v>250</v>
      </c>
      <c r="E143" s="26">
        <v>0.21199999999999999</v>
      </c>
      <c r="F143" s="26">
        <v>0.161</v>
      </c>
      <c r="G143" s="26">
        <v>5.0999999999999997E-2</v>
      </c>
      <c r="H143" s="3" t="s">
        <v>293</v>
      </c>
      <c r="I143" s="27" t="s">
        <v>294</v>
      </c>
      <c r="J143" s="3" t="s">
        <v>21</v>
      </c>
    </row>
    <row r="144" spans="1:10" ht="30" x14ac:dyDescent="0.25">
      <c r="A144" s="3"/>
      <c r="B144" s="27"/>
      <c r="C144" s="27" t="s">
        <v>295</v>
      </c>
      <c r="D144" s="27" t="s">
        <v>250</v>
      </c>
      <c r="E144" s="26">
        <v>0.122</v>
      </c>
      <c r="F144" s="26">
        <v>9.2999999999999999E-2</v>
      </c>
      <c r="G144" s="26">
        <v>2.9000000000000001E-2</v>
      </c>
      <c r="H144" s="3" t="s">
        <v>293</v>
      </c>
      <c r="I144" s="27" t="s">
        <v>296</v>
      </c>
      <c r="J144" s="3" t="s">
        <v>21</v>
      </c>
    </row>
    <row r="145" spans="1:20" ht="30" x14ac:dyDescent="0.25">
      <c r="A145" s="3"/>
      <c r="B145" s="27"/>
      <c r="C145" s="27" t="s">
        <v>297</v>
      </c>
      <c r="D145" s="27" t="s">
        <v>250</v>
      </c>
      <c r="E145" s="26">
        <v>0.121</v>
      </c>
      <c r="F145" s="26">
        <v>9.1999999999999998E-2</v>
      </c>
      <c r="G145" s="26">
        <v>2.9000000000000001E-2</v>
      </c>
      <c r="H145" s="3" t="s">
        <v>293</v>
      </c>
      <c r="I145" s="27" t="s">
        <v>296</v>
      </c>
      <c r="J145" s="3" t="s">
        <v>21</v>
      </c>
    </row>
    <row r="146" spans="1:20" ht="30" x14ac:dyDescent="0.25">
      <c r="A146" s="3"/>
      <c r="B146" s="27"/>
      <c r="C146" s="27" t="s">
        <v>263</v>
      </c>
      <c r="D146" s="27" t="s">
        <v>250</v>
      </c>
      <c r="E146" s="26">
        <v>0.109</v>
      </c>
      <c r="F146" s="26">
        <v>8.3000000000000004E-2</v>
      </c>
      <c r="G146" s="26">
        <v>0.02</v>
      </c>
      <c r="H146" s="3" t="s">
        <v>293</v>
      </c>
      <c r="I146" s="27" t="s">
        <v>298</v>
      </c>
      <c r="J146" s="3" t="s">
        <v>21</v>
      </c>
    </row>
    <row r="147" spans="1:20" ht="30" x14ac:dyDescent="0.25">
      <c r="A147" s="3"/>
      <c r="B147" s="27" t="s">
        <v>212</v>
      </c>
      <c r="C147" s="27" t="s">
        <v>168</v>
      </c>
      <c r="D147" s="27" t="s">
        <v>250</v>
      </c>
      <c r="E147" s="42">
        <v>2.7E-2</v>
      </c>
      <c r="F147" s="42">
        <v>0.02</v>
      </c>
      <c r="G147" s="42">
        <v>7.0000000000000001E-3</v>
      </c>
      <c r="H147" s="3" t="s">
        <v>299</v>
      </c>
      <c r="I147" s="27" t="s">
        <v>300</v>
      </c>
      <c r="J147" s="3" t="s">
        <v>36</v>
      </c>
      <c r="M147"/>
      <c r="N147"/>
      <c r="O147"/>
      <c r="P147"/>
      <c r="Q147"/>
      <c r="R147"/>
      <c r="S147"/>
      <c r="T147"/>
    </row>
    <row r="148" spans="1:20" ht="30" x14ac:dyDescent="0.25">
      <c r="A148" s="3"/>
      <c r="B148" s="27"/>
      <c r="C148" s="27" t="s">
        <v>190</v>
      </c>
      <c r="D148" s="27" t="s">
        <v>250</v>
      </c>
      <c r="E148" s="42">
        <v>1.4999999999999999E-2</v>
      </c>
      <c r="F148" s="42">
        <v>0</v>
      </c>
      <c r="G148" s="42">
        <v>1.4999999999999999E-2</v>
      </c>
      <c r="H148" s="3" t="s">
        <v>299</v>
      </c>
      <c r="I148" s="27" t="s">
        <v>300</v>
      </c>
      <c r="J148" s="3" t="s">
        <v>36</v>
      </c>
      <c r="M148"/>
      <c r="N148"/>
      <c r="O148"/>
      <c r="P148"/>
      <c r="Q148"/>
      <c r="R148"/>
      <c r="S148"/>
      <c r="T148"/>
    </row>
    <row r="149" spans="1:20" ht="30" x14ac:dyDescent="0.25">
      <c r="A149" s="3"/>
      <c r="B149" s="27"/>
      <c r="C149" s="27" t="s">
        <v>267</v>
      </c>
      <c r="D149" s="27" t="s">
        <v>250</v>
      </c>
      <c r="E149" s="42">
        <v>1.7999999999999999E-2</v>
      </c>
      <c r="F149" s="42">
        <v>5.0000000000000001E-3</v>
      </c>
      <c r="G149" s="42">
        <v>1.2999999999999999E-2</v>
      </c>
      <c r="H149" s="3" t="s">
        <v>299</v>
      </c>
      <c r="I149" s="27" t="s">
        <v>301</v>
      </c>
      <c r="J149" s="3" t="s">
        <v>36</v>
      </c>
      <c r="M149"/>
      <c r="N149"/>
      <c r="O149"/>
      <c r="P149"/>
      <c r="Q149"/>
      <c r="R149"/>
      <c r="S149"/>
      <c r="T149"/>
    </row>
    <row r="150" spans="1:20" ht="30" x14ac:dyDescent="0.25">
      <c r="A150" s="3"/>
      <c r="B150" s="27" t="s">
        <v>269</v>
      </c>
      <c r="C150" s="27" t="s">
        <v>302</v>
      </c>
      <c r="D150" s="27" t="s">
        <v>250</v>
      </c>
      <c r="E150" s="26">
        <v>5.3999999999999999E-2</v>
      </c>
      <c r="F150" s="26">
        <v>4.1000000000000002E-2</v>
      </c>
      <c r="G150" s="26">
        <v>0.129</v>
      </c>
      <c r="H150" s="3" t="s">
        <v>303</v>
      </c>
      <c r="I150" s="27" t="s">
        <v>304</v>
      </c>
      <c r="J150" s="3" t="s">
        <v>21</v>
      </c>
    </row>
    <row r="151" spans="1:20" ht="30" x14ac:dyDescent="0.25">
      <c r="A151" s="3"/>
      <c r="B151" s="27"/>
      <c r="C151" s="27" t="s">
        <v>305</v>
      </c>
      <c r="D151" s="27" t="s">
        <v>250</v>
      </c>
      <c r="E151" s="26">
        <v>5.1999999999999998E-2</v>
      </c>
      <c r="F151" s="26">
        <v>3.9E-2</v>
      </c>
      <c r="G151" s="26">
        <v>0.125</v>
      </c>
      <c r="H151" s="3" t="s">
        <v>303</v>
      </c>
      <c r="I151" s="27" t="s">
        <v>306</v>
      </c>
      <c r="J151" s="3" t="s">
        <v>21</v>
      </c>
    </row>
    <row r="152" spans="1:20" ht="30" x14ac:dyDescent="0.25">
      <c r="A152" s="3"/>
      <c r="B152" s="27"/>
      <c r="C152" s="27" t="s">
        <v>307</v>
      </c>
      <c r="D152" s="27" t="s">
        <v>250</v>
      </c>
      <c r="E152" s="26">
        <v>3.2000000000000001E-2</v>
      </c>
      <c r="F152" s="26">
        <v>2.4E-2</v>
      </c>
      <c r="G152" s="26">
        <v>8.0000000000000002E-3</v>
      </c>
      <c r="H152" s="3" t="s">
        <v>303</v>
      </c>
      <c r="I152" s="27" t="s">
        <v>306</v>
      </c>
      <c r="J152" s="3" t="s">
        <v>21</v>
      </c>
    </row>
    <row r="153" spans="1:20" ht="30" x14ac:dyDescent="0.25">
      <c r="A153" s="3"/>
      <c r="B153" s="27"/>
      <c r="C153" s="27" t="s">
        <v>308</v>
      </c>
      <c r="D153" s="27" t="s">
        <v>250</v>
      </c>
      <c r="E153" s="26">
        <v>2.7E-2</v>
      </c>
      <c r="F153" s="26">
        <v>0.02</v>
      </c>
      <c r="G153" s="26">
        <v>7.0000000000000001E-3</v>
      </c>
      <c r="H153" s="3" t="s">
        <v>303</v>
      </c>
      <c r="I153" s="27" t="s">
        <v>306</v>
      </c>
      <c r="J153" s="3" t="s">
        <v>21</v>
      </c>
    </row>
    <row r="154" spans="1:20" ht="60" x14ac:dyDescent="0.25">
      <c r="A154" s="3"/>
      <c r="B154" s="27"/>
      <c r="C154" s="27" t="s">
        <v>309</v>
      </c>
      <c r="D154" s="27" t="s">
        <v>250</v>
      </c>
      <c r="E154" s="26">
        <v>3.2000000000000001E-2</v>
      </c>
      <c r="F154" s="26">
        <v>2.4E-2</v>
      </c>
      <c r="G154" s="26">
        <v>8.0000000000000002E-3</v>
      </c>
      <c r="H154" s="3" t="s">
        <v>303</v>
      </c>
      <c r="I154" s="27" t="s">
        <v>310</v>
      </c>
      <c r="J154" s="3" t="s">
        <v>21</v>
      </c>
    </row>
    <row r="155" spans="1:20" ht="30" x14ac:dyDescent="0.25">
      <c r="A155" s="3"/>
      <c r="B155" s="27" t="s">
        <v>279</v>
      </c>
      <c r="C155" s="27" t="s">
        <v>280</v>
      </c>
      <c r="D155" s="27" t="s">
        <v>250</v>
      </c>
      <c r="E155" s="26">
        <v>3.2000000000000001E-2</v>
      </c>
      <c r="F155" s="26">
        <v>2.5999999999999999E-2</v>
      </c>
      <c r="G155" s="26">
        <v>6.0000000000000001E-3</v>
      </c>
      <c r="H155" s="3" t="s">
        <v>311</v>
      </c>
      <c r="I155" s="27" t="s">
        <v>312</v>
      </c>
      <c r="J155" s="3" t="s">
        <v>21</v>
      </c>
    </row>
    <row r="156" spans="1:20" ht="30" x14ac:dyDescent="0.25">
      <c r="A156" s="3"/>
      <c r="B156" s="27"/>
      <c r="C156" s="27" t="s">
        <v>283</v>
      </c>
      <c r="D156" s="27" t="s">
        <v>250</v>
      </c>
      <c r="E156" s="26">
        <v>1.2E-2</v>
      </c>
      <c r="F156" s="26">
        <v>8.9999999999999993E-3</v>
      </c>
      <c r="G156" s="26">
        <v>2E-3</v>
      </c>
      <c r="H156" s="3" t="s">
        <v>311</v>
      </c>
      <c r="I156" s="27" t="s">
        <v>313</v>
      </c>
      <c r="J156" s="3" t="s">
        <v>21</v>
      </c>
    </row>
    <row r="157" spans="1:20" ht="30" x14ac:dyDescent="0.25">
      <c r="A157" s="3"/>
      <c r="B157" s="27"/>
      <c r="C157" s="27" t="s">
        <v>314</v>
      </c>
      <c r="D157" s="27" t="s">
        <v>250</v>
      </c>
      <c r="E157" s="26">
        <v>1.2E-2</v>
      </c>
      <c r="F157" s="26">
        <v>8.9999999999999993E-3</v>
      </c>
      <c r="G157" s="26">
        <v>2E-3</v>
      </c>
      <c r="H157" s="3" t="s">
        <v>311</v>
      </c>
      <c r="I157" s="27" t="s">
        <v>286</v>
      </c>
      <c r="J157" s="3" t="s">
        <v>21</v>
      </c>
    </row>
    <row r="158" spans="1:20" ht="22.5" customHeight="1" x14ac:dyDescent="0.15">
      <c r="A158" s="304" t="s">
        <v>315</v>
      </c>
      <c r="B158" s="304"/>
      <c r="C158" s="304"/>
      <c r="D158" s="304"/>
      <c r="E158" s="304"/>
      <c r="F158" s="304"/>
      <c r="G158" s="304"/>
      <c r="H158" s="304"/>
      <c r="I158" s="304"/>
      <c r="J158" s="304"/>
    </row>
    <row r="159" spans="1:20" ht="105" x14ac:dyDescent="0.25">
      <c r="A159" s="25"/>
      <c r="B159" s="3" t="s">
        <v>316</v>
      </c>
      <c r="C159" s="3"/>
      <c r="D159" s="3" t="s">
        <v>42</v>
      </c>
      <c r="E159" s="3">
        <v>1760</v>
      </c>
      <c r="F159" s="3"/>
      <c r="G159" s="3"/>
      <c r="H159" s="27" t="s">
        <v>317</v>
      </c>
      <c r="I159" s="27" t="s">
        <v>318</v>
      </c>
      <c r="J159" s="3" t="s">
        <v>21</v>
      </c>
    </row>
    <row r="160" spans="1:20" ht="105" x14ac:dyDescent="0.25">
      <c r="A160" s="25"/>
      <c r="B160" s="3" t="s">
        <v>319</v>
      </c>
      <c r="C160" s="3"/>
      <c r="D160" s="3" t="s">
        <v>42</v>
      </c>
      <c r="E160" s="3">
        <v>1300</v>
      </c>
      <c r="F160" s="3"/>
      <c r="G160" s="3"/>
      <c r="H160" s="27" t="s">
        <v>317</v>
      </c>
      <c r="I160" s="27" t="s">
        <v>318</v>
      </c>
      <c r="J160" s="3" t="s">
        <v>21</v>
      </c>
    </row>
    <row r="161" spans="1:10" ht="105" x14ac:dyDescent="0.25">
      <c r="A161" s="25"/>
      <c r="B161" s="3" t="s">
        <v>320</v>
      </c>
      <c r="C161" s="3"/>
      <c r="D161" s="3" t="s">
        <v>42</v>
      </c>
      <c r="E161" s="3">
        <v>3170</v>
      </c>
      <c r="F161" s="3"/>
      <c r="G161" s="3"/>
      <c r="H161" s="27" t="s">
        <v>317</v>
      </c>
      <c r="I161" s="27" t="s">
        <v>318</v>
      </c>
      <c r="J161" s="3" t="s">
        <v>21</v>
      </c>
    </row>
    <row r="162" spans="1:10" ht="105" x14ac:dyDescent="0.25">
      <c r="A162" s="25"/>
      <c r="B162" s="3" t="s">
        <v>321</v>
      </c>
      <c r="C162" s="3"/>
      <c r="D162" s="3" t="s">
        <v>42</v>
      </c>
      <c r="E162" s="3">
        <v>4800</v>
      </c>
      <c r="F162" s="3"/>
      <c r="G162" s="3"/>
      <c r="H162" s="27" t="s">
        <v>317</v>
      </c>
      <c r="I162" s="27" t="s">
        <v>318</v>
      </c>
      <c r="J162" s="3" t="s">
        <v>21</v>
      </c>
    </row>
    <row r="163" spans="1:10" ht="105" x14ac:dyDescent="0.25">
      <c r="A163" s="25"/>
      <c r="B163" s="3" t="s">
        <v>322</v>
      </c>
      <c r="C163" s="3"/>
      <c r="D163" s="3" t="s">
        <v>42</v>
      </c>
      <c r="E163" s="3">
        <v>677</v>
      </c>
      <c r="F163" s="3"/>
      <c r="G163" s="3"/>
      <c r="H163" s="27" t="s">
        <v>317</v>
      </c>
      <c r="I163" s="27" t="s">
        <v>318</v>
      </c>
      <c r="J163" s="3" t="s">
        <v>21</v>
      </c>
    </row>
    <row r="164" spans="1:10" ht="105" x14ac:dyDescent="0.25">
      <c r="A164" s="25"/>
      <c r="B164" s="3" t="s">
        <v>323</v>
      </c>
      <c r="C164" s="27" t="s">
        <v>324</v>
      </c>
      <c r="D164" s="3" t="s">
        <v>42</v>
      </c>
      <c r="E164" s="3">
        <v>3943</v>
      </c>
      <c r="F164" s="3"/>
      <c r="G164" s="3"/>
      <c r="H164" s="27" t="s">
        <v>317</v>
      </c>
      <c r="I164" s="27" t="s">
        <v>318</v>
      </c>
      <c r="J164" s="3" t="s">
        <v>21</v>
      </c>
    </row>
    <row r="165" spans="1:10" ht="105" x14ac:dyDescent="0.25">
      <c r="A165" s="25"/>
      <c r="B165" s="3" t="s">
        <v>325</v>
      </c>
      <c r="C165" s="27" t="s">
        <v>326</v>
      </c>
      <c r="D165" s="3" t="s">
        <v>42</v>
      </c>
      <c r="E165" s="3">
        <v>3985</v>
      </c>
      <c r="F165" s="3"/>
      <c r="G165" s="3"/>
      <c r="H165" s="27" t="s">
        <v>317</v>
      </c>
      <c r="I165" s="27" t="s">
        <v>318</v>
      </c>
      <c r="J165" s="3" t="s">
        <v>21</v>
      </c>
    </row>
    <row r="166" spans="1:10" ht="105" x14ac:dyDescent="0.25">
      <c r="A166" s="25"/>
      <c r="B166" s="3" t="s">
        <v>327</v>
      </c>
      <c r="C166" s="27" t="s">
        <v>328</v>
      </c>
      <c r="D166" s="3" t="s">
        <v>42</v>
      </c>
      <c r="E166" s="3">
        <v>1624</v>
      </c>
      <c r="F166" s="3"/>
      <c r="G166" s="3"/>
      <c r="H166" s="27" t="s">
        <v>317</v>
      </c>
      <c r="I166" s="27" t="s">
        <v>318</v>
      </c>
      <c r="J166" s="3" t="s">
        <v>21</v>
      </c>
    </row>
    <row r="167" spans="1:10" ht="105" x14ac:dyDescent="0.25">
      <c r="A167" s="25"/>
      <c r="B167" s="30" t="s">
        <v>329</v>
      </c>
      <c r="C167" s="30" t="s">
        <v>330</v>
      </c>
      <c r="D167" s="30" t="s">
        <v>42</v>
      </c>
      <c r="E167" s="30">
        <v>1674</v>
      </c>
      <c r="F167" s="30"/>
      <c r="G167" s="30"/>
      <c r="H167" s="30" t="s">
        <v>317</v>
      </c>
      <c r="I167" s="33" t="s">
        <v>318</v>
      </c>
      <c r="J167" s="30" t="s">
        <v>77</v>
      </c>
    </row>
    <row r="168" spans="1:10" ht="105" x14ac:dyDescent="0.25">
      <c r="A168" s="25"/>
      <c r="B168" s="3" t="s">
        <v>331</v>
      </c>
      <c r="C168" s="27" t="s">
        <v>332</v>
      </c>
      <c r="D168" s="3" t="s">
        <v>42</v>
      </c>
      <c r="E168" s="3">
        <v>1924</v>
      </c>
      <c r="F168" s="3"/>
      <c r="G168" s="3"/>
      <c r="H168" s="27" t="s">
        <v>317</v>
      </c>
      <c r="I168" s="27" t="s">
        <v>318</v>
      </c>
      <c r="J168" s="3" t="s">
        <v>21</v>
      </c>
    </row>
    <row r="169" spans="1:10" ht="105" x14ac:dyDescent="0.25">
      <c r="A169" s="25"/>
      <c r="B169" s="3" t="s">
        <v>333</v>
      </c>
      <c r="C169" s="27" t="s">
        <v>334</v>
      </c>
      <c r="D169" s="3" t="s">
        <v>42</v>
      </c>
      <c r="E169" s="3">
        <v>2127</v>
      </c>
      <c r="F169" s="3"/>
      <c r="G169" s="3"/>
      <c r="H169" s="27" t="s">
        <v>317</v>
      </c>
      <c r="I169" s="27" t="s">
        <v>318</v>
      </c>
      <c r="J169" s="3" t="s">
        <v>21</v>
      </c>
    </row>
    <row r="170" spans="1:10" ht="105" x14ac:dyDescent="0.25">
      <c r="A170" s="25"/>
      <c r="B170" s="3" t="s">
        <v>335</v>
      </c>
      <c r="C170" s="27" t="s">
        <v>336</v>
      </c>
      <c r="D170" s="3" t="s">
        <v>42</v>
      </c>
      <c r="E170" s="3">
        <v>2473</v>
      </c>
      <c r="F170" s="3"/>
      <c r="G170" s="3"/>
      <c r="H170" s="27" t="s">
        <v>317</v>
      </c>
      <c r="I170" s="27" t="s">
        <v>318</v>
      </c>
      <c r="J170" s="3" t="s">
        <v>21</v>
      </c>
    </row>
    <row r="171" spans="1:10" ht="105" x14ac:dyDescent="0.25">
      <c r="A171" s="25"/>
      <c r="B171" s="3" t="s">
        <v>337</v>
      </c>
      <c r="C171" s="27"/>
      <c r="D171" s="3" t="s">
        <v>42</v>
      </c>
      <c r="E171" s="3">
        <v>1</v>
      </c>
      <c r="F171" s="3"/>
      <c r="G171" s="3"/>
      <c r="H171" s="27" t="s">
        <v>317</v>
      </c>
      <c r="I171" s="27" t="s">
        <v>318</v>
      </c>
      <c r="J171" s="3" t="s">
        <v>21</v>
      </c>
    </row>
    <row r="172" spans="1:10" ht="105" x14ac:dyDescent="0.25">
      <c r="A172" s="25"/>
      <c r="B172" s="3" t="s">
        <v>338</v>
      </c>
      <c r="C172" s="27"/>
      <c r="D172" s="3" t="s">
        <v>42</v>
      </c>
      <c r="E172" s="3">
        <v>1</v>
      </c>
      <c r="F172" s="3"/>
      <c r="G172" s="3"/>
      <c r="H172" s="27" t="s">
        <v>317</v>
      </c>
      <c r="I172" s="27" t="s">
        <v>318</v>
      </c>
      <c r="J172" s="3" t="s">
        <v>21</v>
      </c>
    </row>
    <row r="173" spans="1:10" ht="105" x14ac:dyDescent="0.25">
      <c r="A173" s="25"/>
      <c r="B173" s="27" t="s">
        <v>339</v>
      </c>
      <c r="C173" s="27"/>
      <c r="D173" s="3" t="s">
        <v>42</v>
      </c>
      <c r="E173" s="3">
        <v>1</v>
      </c>
      <c r="F173" s="3"/>
      <c r="G173" s="3"/>
      <c r="H173" s="27" t="s">
        <v>317</v>
      </c>
      <c r="I173" s="27" t="s">
        <v>318</v>
      </c>
      <c r="J173" s="3" t="s">
        <v>21</v>
      </c>
    </row>
    <row r="174" spans="1:10" s="43" customFormat="1" ht="105" x14ac:dyDescent="0.25">
      <c r="A174" s="25"/>
      <c r="B174" s="33" t="s">
        <v>340</v>
      </c>
      <c r="C174" s="33" t="s">
        <v>341</v>
      </c>
      <c r="D174" s="33" t="s">
        <v>42</v>
      </c>
      <c r="E174" s="33">
        <v>2059</v>
      </c>
      <c r="F174" s="33"/>
      <c r="G174" s="33"/>
      <c r="H174" s="33" t="s">
        <v>317</v>
      </c>
      <c r="I174" s="33" t="s">
        <v>318</v>
      </c>
      <c r="J174" s="33" t="s">
        <v>77</v>
      </c>
    </row>
    <row r="175" spans="1:10" ht="131.25" customHeight="1" x14ac:dyDescent="0.25">
      <c r="A175" s="25"/>
      <c r="B175" s="3" t="s">
        <v>342</v>
      </c>
      <c r="C175" s="27" t="s">
        <v>343</v>
      </c>
      <c r="D175" s="3" t="s">
        <v>42</v>
      </c>
      <c r="E175" s="3">
        <v>1273</v>
      </c>
      <c r="F175" s="3"/>
      <c r="G175" s="3"/>
      <c r="H175" s="27" t="s">
        <v>317</v>
      </c>
      <c r="I175" s="27" t="s">
        <v>318</v>
      </c>
      <c r="J175" s="3" t="s">
        <v>21</v>
      </c>
    </row>
    <row r="176" spans="1:10" ht="117" customHeight="1" x14ac:dyDescent="0.25">
      <c r="A176" s="25"/>
      <c r="B176" s="3" t="s">
        <v>344</v>
      </c>
      <c r="C176" s="27" t="s">
        <v>345</v>
      </c>
      <c r="D176" s="3" t="s">
        <v>42</v>
      </c>
      <c r="E176" s="3">
        <v>1282</v>
      </c>
      <c r="F176" s="3"/>
      <c r="G176" s="3"/>
      <c r="H176" s="27" t="s">
        <v>317</v>
      </c>
      <c r="I176" s="27" t="s">
        <v>318</v>
      </c>
      <c r="J176" s="3" t="s">
        <v>21</v>
      </c>
    </row>
    <row r="177" spans="1:19" ht="105" x14ac:dyDescent="0.25">
      <c r="A177" s="25"/>
      <c r="B177" s="3" t="s">
        <v>346</v>
      </c>
      <c r="C177" s="27" t="s">
        <v>347</v>
      </c>
      <c r="D177" s="3" t="s">
        <v>42</v>
      </c>
      <c r="E177" s="3">
        <v>547</v>
      </c>
      <c r="F177" s="3"/>
      <c r="G177" s="3"/>
      <c r="H177" s="27" t="s">
        <v>317</v>
      </c>
      <c r="I177" s="27" t="s">
        <v>318</v>
      </c>
      <c r="J177" s="3" t="s">
        <v>21</v>
      </c>
    </row>
    <row r="178" spans="1:19" s="43" customFormat="1" ht="105" x14ac:dyDescent="0.25">
      <c r="A178" s="25"/>
      <c r="B178" s="33" t="s">
        <v>348</v>
      </c>
      <c r="C178" s="33" t="s">
        <v>349</v>
      </c>
      <c r="D178" s="33" t="s">
        <v>42</v>
      </c>
      <c r="E178" s="33">
        <v>1945</v>
      </c>
      <c r="F178" s="33"/>
      <c r="G178" s="33"/>
      <c r="H178" s="33" t="s">
        <v>317</v>
      </c>
      <c r="I178" s="33" t="s">
        <v>318</v>
      </c>
      <c r="J178" s="33" t="s">
        <v>77</v>
      </c>
    </row>
    <row r="179" spans="1:19" ht="105" x14ac:dyDescent="0.25">
      <c r="A179" s="25"/>
      <c r="B179" s="3" t="s">
        <v>350</v>
      </c>
      <c r="C179" s="27" t="s">
        <v>351</v>
      </c>
      <c r="D179" s="3" t="s">
        <v>42</v>
      </c>
      <c r="E179" s="3">
        <v>676</v>
      </c>
      <c r="F179" s="3"/>
      <c r="G179" s="3"/>
      <c r="H179" s="27" t="s">
        <v>317</v>
      </c>
      <c r="I179" s="27" t="s">
        <v>318</v>
      </c>
      <c r="J179" s="3" t="s">
        <v>21</v>
      </c>
    </row>
    <row r="180" spans="1:19" ht="105" x14ac:dyDescent="0.25">
      <c r="A180" s="25"/>
      <c r="B180" s="3" t="s">
        <v>352</v>
      </c>
      <c r="C180" s="27" t="s">
        <v>353</v>
      </c>
      <c r="D180" s="3" t="s">
        <v>42</v>
      </c>
      <c r="E180" s="3">
        <v>573</v>
      </c>
      <c r="F180" s="3"/>
      <c r="G180" s="3"/>
      <c r="H180" s="27" t="s">
        <v>317</v>
      </c>
      <c r="I180" s="27" t="s">
        <v>318</v>
      </c>
      <c r="J180" s="3" t="s">
        <v>21</v>
      </c>
    </row>
    <row r="181" spans="1:19" ht="105" x14ac:dyDescent="0.25">
      <c r="A181" s="25"/>
      <c r="B181" s="27" t="s">
        <v>354</v>
      </c>
      <c r="C181" s="27" t="s">
        <v>355</v>
      </c>
      <c r="D181" s="27" t="s">
        <v>42</v>
      </c>
      <c r="E181" s="27">
        <v>3</v>
      </c>
      <c r="F181" s="27"/>
      <c r="G181" s="27"/>
      <c r="H181" s="27" t="s">
        <v>317</v>
      </c>
      <c r="I181" s="27" t="s">
        <v>318</v>
      </c>
      <c r="J181" s="3" t="s">
        <v>77</v>
      </c>
    </row>
    <row r="182" spans="1:19" ht="105" x14ac:dyDescent="0.25">
      <c r="A182" s="25"/>
      <c r="B182" s="3" t="s">
        <v>356</v>
      </c>
      <c r="C182" s="3" t="s">
        <v>357</v>
      </c>
      <c r="D182" s="3" t="s">
        <v>42</v>
      </c>
      <c r="E182" s="3">
        <v>3</v>
      </c>
      <c r="F182" s="3"/>
      <c r="G182" s="3"/>
      <c r="H182" s="27" t="s">
        <v>317</v>
      </c>
      <c r="I182" s="27" t="s">
        <v>318</v>
      </c>
      <c r="J182" s="3" t="s">
        <v>21</v>
      </c>
    </row>
    <row r="183" spans="1:19" ht="105" x14ac:dyDescent="0.25">
      <c r="A183" s="25"/>
      <c r="B183" s="3" t="s">
        <v>358</v>
      </c>
      <c r="C183" s="3" t="s">
        <v>359</v>
      </c>
      <c r="D183" s="3" t="s">
        <v>42</v>
      </c>
      <c r="E183" s="3">
        <v>3</v>
      </c>
      <c r="F183" s="3"/>
      <c r="G183" s="3"/>
      <c r="H183" s="27" t="s">
        <v>317</v>
      </c>
      <c r="I183" s="27" t="s">
        <v>318</v>
      </c>
      <c r="J183" s="3" t="s">
        <v>21</v>
      </c>
    </row>
    <row r="184" spans="1:19" ht="105" x14ac:dyDescent="0.25">
      <c r="A184" s="25"/>
      <c r="B184" s="33" t="s">
        <v>360</v>
      </c>
      <c r="C184" s="33" t="s">
        <v>361</v>
      </c>
      <c r="D184" s="33" t="s">
        <v>42</v>
      </c>
      <c r="E184" s="33">
        <v>5</v>
      </c>
      <c r="F184" s="33"/>
      <c r="G184" s="33"/>
      <c r="H184" s="33" t="s">
        <v>317</v>
      </c>
      <c r="I184" s="33" t="s">
        <v>318</v>
      </c>
      <c r="J184" s="30" t="s">
        <v>77</v>
      </c>
    </row>
    <row r="185" spans="1:19" ht="105" x14ac:dyDescent="0.25">
      <c r="A185" s="25"/>
      <c r="B185" s="33" t="s">
        <v>362</v>
      </c>
      <c r="C185" s="33" t="s">
        <v>363</v>
      </c>
      <c r="D185" s="33" t="s">
        <v>42</v>
      </c>
      <c r="E185" s="33">
        <v>5</v>
      </c>
      <c r="F185" s="33"/>
      <c r="G185" s="33"/>
      <c r="H185" s="33" t="s">
        <v>317</v>
      </c>
      <c r="I185" s="33" t="s">
        <v>318</v>
      </c>
      <c r="J185" s="30" t="s">
        <v>77</v>
      </c>
      <c r="P185" s="24" t="s">
        <v>425</v>
      </c>
    </row>
    <row r="186" spans="1:19" ht="90" x14ac:dyDescent="0.25">
      <c r="A186" s="25"/>
      <c r="B186" s="3" t="s">
        <v>364</v>
      </c>
      <c r="C186" s="3" t="s">
        <v>365</v>
      </c>
      <c r="D186" s="3" t="s">
        <v>42</v>
      </c>
      <c r="E186" s="3">
        <v>28</v>
      </c>
      <c r="F186" s="42"/>
      <c r="G186" s="42"/>
      <c r="H186" s="27" t="s">
        <v>317</v>
      </c>
      <c r="I186" s="27" t="s">
        <v>366</v>
      </c>
      <c r="J186" s="3" t="s">
        <v>21</v>
      </c>
      <c r="N186" s="3" t="s">
        <v>424</v>
      </c>
      <c r="O186" s="3" t="s">
        <v>42</v>
      </c>
      <c r="P186" s="3">
        <v>265</v>
      </c>
      <c r="Q186" s="3"/>
      <c r="R186" s="3"/>
      <c r="S186" s="27" t="s">
        <v>317</v>
      </c>
    </row>
    <row r="187" spans="1:19" ht="90" x14ac:dyDescent="0.25">
      <c r="A187" s="25"/>
      <c r="B187" s="3" t="s">
        <v>367</v>
      </c>
      <c r="C187" s="3" t="s">
        <v>368</v>
      </c>
      <c r="D187" s="3" t="s">
        <v>42</v>
      </c>
      <c r="E187" s="3">
        <v>265</v>
      </c>
      <c r="F187" s="3"/>
      <c r="G187" s="3"/>
      <c r="H187" s="27" t="s">
        <v>317</v>
      </c>
      <c r="I187" s="27" t="s">
        <v>366</v>
      </c>
      <c r="J187" s="3" t="s">
        <v>21</v>
      </c>
    </row>
    <row r="188" spans="1:19" ht="15" x14ac:dyDescent="0.25">
      <c r="A188" s="44"/>
      <c r="B188"/>
      <c r="C188"/>
      <c r="D188"/>
      <c r="E188"/>
      <c r="F188"/>
      <c r="G188"/>
      <c r="H188" s="6"/>
      <c r="I188" s="6"/>
      <c r="J188"/>
    </row>
    <row r="189" spans="1:19" customFormat="1" ht="15" x14ac:dyDescent="0.25">
      <c r="A189" t="s">
        <v>369</v>
      </c>
      <c r="B189" s="6"/>
      <c r="C189" s="6"/>
      <c r="D189" s="6"/>
      <c r="H189" s="6"/>
      <c r="I189" s="6"/>
    </row>
    <row r="190" spans="1:19" s="45" customFormat="1" ht="349.5" customHeight="1" x14ac:dyDescent="0.25">
      <c r="A190" s="296" t="s">
        <v>370</v>
      </c>
      <c r="B190" s="297"/>
      <c r="C190" s="297"/>
      <c r="D190" s="297"/>
      <c r="E190" s="297"/>
      <c r="F190" s="297"/>
      <c r="G190" s="297"/>
      <c r="H190" s="297"/>
      <c r="I190" s="297"/>
      <c r="J190" s="298"/>
    </row>
    <row r="191" spans="1:19" ht="124.5" customHeight="1" x14ac:dyDescent="0.15">
      <c r="A191" s="299" t="s">
        <v>371</v>
      </c>
      <c r="B191" s="300"/>
      <c r="C191" s="300"/>
      <c r="D191" s="300"/>
      <c r="E191" s="300"/>
      <c r="F191" s="300"/>
      <c r="G191" s="300"/>
      <c r="H191" s="300"/>
      <c r="I191" s="300"/>
      <c r="J191" s="301"/>
    </row>
  </sheetData>
  <sheetProtection algorithmName="SHA-512" hashValue="VcLVI0poJ5JfKDRl/xK54Q/SyYJrGd8/HrJNUSw5Ws6bc4Nz9BhBeOtcFqild+Bo7nAgS/Aa9+yZghzy2MwkJA==" saltValue="laA8kjr1F/NCIkKYDDEDAQ==" spinCount="100000" sheet="1" objects="1" scenarios="1"/>
  <customSheetViews>
    <customSheetView guid="{468B9859-406B-47B7-B856-34BDC1863CB4}" scale="55" topLeftCell="A70">
      <selection activeCell="N2" sqref="N2"/>
      <pageMargins left="0.7" right="0.7" top="0.75" bottom="0.75" header="0.3" footer="0.3"/>
      <headerFooter>
        <oddFooter>&amp;L_x000D_&amp;1#&amp;"Calibri"&amp;10&amp;K000000 Intern gebruik</oddFooter>
      </headerFooter>
    </customSheetView>
  </customSheetViews>
  <mergeCells count="62">
    <mergeCell ref="B29:C29"/>
    <mergeCell ref="A3:J3"/>
    <mergeCell ref="A4:J4"/>
    <mergeCell ref="A5:J5"/>
    <mergeCell ref="A27:J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5:C65"/>
    <mergeCell ref="B54:C54"/>
    <mergeCell ref="B55:C55"/>
    <mergeCell ref="B56:C56"/>
    <mergeCell ref="B57:C57"/>
    <mergeCell ref="B58:C58"/>
    <mergeCell ref="B59:C59"/>
    <mergeCell ref="B60:C60"/>
    <mergeCell ref="B61:C61"/>
    <mergeCell ref="B62:C62"/>
    <mergeCell ref="B63:C63"/>
    <mergeCell ref="B64:C64"/>
    <mergeCell ref="B116:C116"/>
    <mergeCell ref="A66:J66"/>
    <mergeCell ref="A74:J74"/>
    <mergeCell ref="B75:C75"/>
    <mergeCell ref="B76:C76"/>
    <mergeCell ref="B108:C108"/>
    <mergeCell ref="B110:C110"/>
    <mergeCell ref="B111:C111"/>
    <mergeCell ref="B112:C112"/>
    <mergeCell ref="B113:C113"/>
    <mergeCell ref="B114:C114"/>
    <mergeCell ref="B115:C115"/>
    <mergeCell ref="A190:J190"/>
    <mergeCell ref="A191:J191"/>
    <mergeCell ref="B117:C117"/>
    <mergeCell ref="B118:C118"/>
    <mergeCell ref="B119:C119"/>
    <mergeCell ref="B120:C120"/>
    <mergeCell ref="A125:J125"/>
    <mergeCell ref="A158:J158"/>
  </mergeCells>
  <pageMargins left="0.7" right="0.7" top="0.75" bottom="0.75" header="0.3" footer="0.3"/>
  <drawing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1</vt:i4>
      </vt:variant>
    </vt:vector>
  </HeadingPairs>
  <TitlesOfParts>
    <vt:vector size="10" baseType="lpstr">
      <vt:lpstr>Versie</vt:lpstr>
      <vt:lpstr>Datasheet</vt:lpstr>
      <vt:lpstr>Toelichting</vt:lpstr>
      <vt:lpstr>Energie , overige thema's</vt:lpstr>
      <vt:lpstr>CCS en Negatieve Emissies</vt:lpstr>
      <vt:lpstr>CCU</vt:lpstr>
      <vt:lpstr>Circulaire Economie</vt:lpstr>
      <vt:lpstr>Bronnen circulaire economie</vt:lpstr>
      <vt:lpstr>CO2 emissiefactoren 2022</vt:lpstr>
      <vt:lpstr>'Circulaire Economie'!Afdrukbereik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DEI+ CO2 berekening</dc:title>
  <dc:creator>Rijksdienst voor Ondernemend Nederland</dc:creator>
  <cp:lastModifiedBy>Rijksdienst voor Ondernemend Nederland</cp:lastModifiedBy>
  <cp:lastPrinted>2023-02-21T14:16:37Z</cp:lastPrinted>
  <dcterms:created xsi:type="dcterms:W3CDTF">2022-11-24T10:25:07Z</dcterms:created>
  <dcterms:modified xsi:type="dcterms:W3CDTF">2025-01-20T19:27:53Z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d88dc2-102c-473d-aa45-6161565a3617_Enabled">
    <vt:lpwstr>true</vt:lpwstr>
  </property>
  <property fmtid="{D5CDD505-2E9C-101B-9397-08002B2CF9AE}" pid="3" name="MSIP_Label_acd88dc2-102c-473d-aa45-6161565a3617_SetDate">
    <vt:lpwstr>2022-11-24T10:25:07Z</vt:lpwstr>
  </property>
  <property fmtid="{D5CDD505-2E9C-101B-9397-08002B2CF9AE}" pid="4" name="MSIP_Label_acd88dc2-102c-473d-aa45-6161565a3617_Method">
    <vt:lpwstr>Standard</vt:lpwstr>
  </property>
  <property fmtid="{D5CDD505-2E9C-101B-9397-08002B2CF9AE}" pid="5" name="MSIP_Label_acd88dc2-102c-473d-aa45-6161565a3617_Name">
    <vt:lpwstr>Sublabel-Interngebruik-onversleuteld</vt:lpwstr>
  </property>
  <property fmtid="{D5CDD505-2E9C-101B-9397-08002B2CF9AE}" pid="6" name="MSIP_Label_acd88dc2-102c-473d-aa45-6161565a3617_SiteId">
    <vt:lpwstr>1321633e-f6b9-44e2-a44f-59b9d264ecb7</vt:lpwstr>
  </property>
  <property fmtid="{D5CDD505-2E9C-101B-9397-08002B2CF9AE}" pid="7" name="MSIP_Label_acd88dc2-102c-473d-aa45-6161565a3617_ActionId">
    <vt:lpwstr>1df79240-fbb5-4cf3-ba04-a2d84a086e1c</vt:lpwstr>
  </property>
  <property fmtid="{D5CDD505-2E9C-101B-9397-08002B2CF9AE}" pid="8" name="MSIP_Label_acd88dc2-102c-473d-aa45-6161565a3617_ContentBits">
    <vt:lpwstr>2</vt:lpwstr>
  </property>
</Properties>
</file>