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R:\Mijn Documenten\Duurzaam\Gebouwen\KCAF en Experteams\"/>
    </mc:Choice>
  </mc:AlternateContent>
  <xr:revisionPtr revIDLastSave="0" documentId="8_{EE60272F-DC74-4066-8FE9-2D4FC13B0B51}" xr6:coauthVersionLast="47" xr6:coauthVersionMax="47" xr10:uidLastSave="{00000000-0000-0000-0000-000000000000}"/>
  <workbookProtection workbookAlgorithmName="SHA-512" workbookHashValue="OKoDNYWTnBW71J/c3b360nvJfTNGoFOOjgVtDKFQbnJ949v5pOSw4kD62cIfTkPh4du4f2IuxJjum9WPX6DDAA==" workbookSaltValue="RTO+gqUNTFUhmU/PJxXuWQ==" workbookSpinCount="100000" lockStructure="1"/>
  <bookViews>
    <workbookView xWindow="5676" yWindow="744" windowWidth="23796" windowHeight="15024" xr2:uid="{126A474B-83D0-4D1D-AAEA-824FDF1638DD}"/>
  </bookViews>
  <sheets>
    <sheet name="Invulblad" sheetId="3" r:id="rId1"/>
    <sheet name="Data" sheetId="2" state="hidden" r:id="rId2"/>
    <sheet name="Projecttijdlijn" sheetId="11" r:id="rId3"/>
    <sheet name="Toelichting" sheetId="12" r:id="rId4"/>
  </sheets>
  <definedNames>
    <definedName name="_xlnm.Print_Area" localSheetId="0">Invulblad!$A$1:$M$135</definedName>
    <definedName name="_xlnm.Print_Area" localSheetId="2">Projecttijdlijn!$A$1:$N$18</definedName>
    <definedName name="_xlnm.Print_Area" localSheetId="3">Toelichting!$B$1:$C$12</definedName>
    <definedName name="BOPA">Data!#REF!</definedName>
    <definedName name="Gebiedsontwikkeling">Data!#REF!</definedName>
    <definedName name="Locatieontwikkeling">Data!#REF!</definedName>
    <definedName name="Projectbegin">Projecttijdlijn!$L$20</definedName>
    <definedName name="Projecteinde">Projecttijdlijn!$L$22</definedName>
    <definedName name="Wijziging_omgevingsplan">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2" l="1"/>
  <c r="E49" i="2"/>
  <c r="F49" i="2" s="1"/>
  <c r="E48" i="2"/>
  <c r="E47" i="2"/>
  <c r="D79" i="3"/>
  <c r="E37" i="2"/>
  <c r="E36" i="2"/>
  <c r="E35" i="2"/>
  <c r="E34" i="2"/>
  <c r="E32" i="2"/>
  <c r="E31" i="2"/>
  <c r="E29" i="2"/>
  <c r="E28" i="2"/>
  <c r="E27" i="2"/>
  <c r="E26" i="2"/>
  <c r="E25" i="2"/>
  <c r="E24" i="2"/>
  <c r="E23" i="2"/>
  <c r="E60" i="2"/>
  <c r="E58" i="2"/>
  <c r="E57" i="2"/>
  <c r="E53" i="2"/>
  <c r="E52" i="2"/>
  <c r="E55" i="2"/>
  <c r="D40" i="3"/>
  <c r="C40" i="3" s="1"/>
  <c r="D39" i="3"/>
  <c r="C39" i="3" s="1"/>
  <c r="C42" i="3"/>
  <c r="E45" i="2"/>
  <c r="E56" i="2"/>
  <c r="E46" i="2"/>
  <c r="D46" i="2" s="1"/>
  <c r="C41" i="3"/>
  <c r="D41" i="3"/>
  <c r="D61" i="2" l="1"/>
  <c r="D40" i="2"/>
  <c r="C38" i="3"/>
  <c r="C36" i="3"/>
  <c r="C35" i="3"/>
  <c r="D38" i="3"/>
  <c r="D37" i="3"/>
  <c r="D36" i="3"/>
  <c r="D35" i="3"/>
  <c r="D34" i="3"/>
  <c r="C33" i="3"/>
  <c r="C32" i="3"/>
  <c r="C31" i="3"/>
  <c r="C30" i="3"/>
  <c r="D33" i="3"/>
  <c r="D32" i="3"/>
  <c r="D31" i="3"/>
  <c r="D30" i="3"/>
  <c r="D29" i="3"/>
  <c r="C29" i="3" s="1"/>
  <c r="C28" i="3"/>
  <c r="D28" i="3"/>
  <c r="D27" i="3"/>
  <c r="E178" i="2" l="1"/>
  <c r="B21" i="11" s="1"/>
  <c r="D114" i="3" l="1"/>
  <c r="C30" i="11" l="1"/>
  <c r="E30" i="11"/>
  <c r="E21" i="11"/>
  <c r="E22" i="11"/>
  <c r="E23" i="11"/>
  <c r="E24" i="11"/>
  <c r="E25" i="11"/>
  <c r="E26" i="11"/>
  <c r="E27" i="11"/>
  <c r="E28" i="11"/>
  <c r="E29" i="11"/>
  <c r="E167" i="2" l="1"/>
  <c r="D167" i="2" s="1"/>
  <c r="E157" i="2"/>
  <c r="D157" i="2" s="1"/>
  <c r="E74" i="2"/>
  <c r="E71" i="2"/>
  <c r="E13" i="2"/>
  <c r="D13" i="2" s="1"/>
  <c r="D15" i="3"/>
  <c r="C178" i="2" s="1"/>
  <c r="C21" i="11" s="1"/>
  <c r="M161" i="2"/>
  <c r="M150" i="2"/>
  <c r="M139" i="2"/>
  <c r="M123" i="2"/>
  <c r="M107" i="2"/>
  <c r="M99" i="2"/>
  <c r="M91" i="2"/>
  <c r="E87" i="2"/>
  <c r="D87" i="2" s="1"/>
  <c r="M79" i="2"/>
  <c r="M78" i="2"/>
  <c r="M61" i="2"/>
  <c r="M40" i="2"/>
  <c r="E160" i="2"/>
  <c r="D160" i="2" s="1"/>
  <c r="E156" i="2"/>
  <c r="D156" i="2" s="1"/>
  <c r="E90" i="2"/>
  <c r="D90" i="2" s="1"/>
  <c r="E174" i="2"/>
  <c r="F174" i="2" s="1"/>
  <c r="E173" i="2"/>
  <c r="F173" i="2" s="1"/>
  <c r="E171" i="2"/>
  <c r="F171" i="2" s="1"/>
  <c r="E170" i="2"/>
  <c r="F170" i="2" s="1"/>
  <c r="E168" i="2"/>
  <c r="F168" i="2" s="1"/>
  <c r="E166" i="2"/>
  <c r="F166" i="2" s="1"/>
  <c r="E159" i="2"/>
  <c r="F159" i="2" s="1"/>
  <c r="E155" i="2"/>
  <c r="F155" i="2" s="1"/>
  <c r="E149" i="2"/>
  <c r="F149" i="2" s="1"/>
  <c r="E148" i="2"/>
  <c r="D148" i="2" s="1"/>
  <c r="E147" i="2"/>
  <c r="D147" i="2" s="1"/>
  <c r="E146" i="2"/>
  <c r="D146" i="2" s="1"/>
  <c r="E144" i="2"/>
  <c r="F144" i="2" s="1"/>
  <c r="E138" i="2"/>
  <c r="F138" i="2" s="1"/>
  <c r="E137" i="2"/>
  <c r="F137" i="2" s="1"/>
  <c r="E135" i="2"/>
  <c r="F135" i="2" s="1"/>
  <c r="E129" i="2"/>
  <c r="F129" i="2" s="1"/>
  <c r="E128" i="2"/>
  <c r="F128" i="2" s="1"/>
  <c r="E122" i="2"/>
  <c r="F122" i="2" s="1"/>
  <c r="E121" i="2"/>
  <c r="F121" i="2" s="1"/>
  <c r="E119" i="2"/>
  <c r="F119" i="2" s="1"/>
  <c r="E113" i="2"/>
  <c r="F113" i="2" s="1"/>
  <c r="E112" i="2"/>
  <c r="F112" i="2" s="1"/>
  <c r="E89" i="2"/>
  <c r="F89" i="2" s="1"/>
  <c r="E88" i="2"/>
  <c r="F88" i="2" s="1"/>
  <c r="E86" i="2"/>
  <c r="F86" i="2" s="1"/>
  <c r="E84" i="2"/>
  <c r="F84" i="2" s="1"/>
  <c r="E78" i="2"/>
  <c r="F78" i="2" s="1"/>
  <c r="E77" i="2"/>
  <c r="F77" i="2" s="1"/>
  <c r="E76" i="2"/>
  <c r="F76" i="2" s="1"/>
  <c r="E73" i="2"/>
  <c r="F73" i="2" s="1"/>
  <c r="E70" i="2"/>
  <c r="F70" i="2" s="1"/>
  <c r="E68" i="2"/>
  <c r="F68" i="2" s="1"/>
  <c r="E67" i="2"/>
  <c r="F67" i="2" s="1"/>
  <c r="E17" i="2"/>
  <c r="F17" i="2" s="1"/>
  <c r="E16" i="2"/>
  <c r="F16" i="2" s="1"/>
  <c r="E15" i="2"/>
  <c r="F15" i="2" s="1"/>
  <c r="E12" i="2"/>
  <c r="F12" i="2" s="1"/>
  <c r="B11" i="2"/>
  <c r="D121" i="3"/>
  <c r="C186" i="2" s="1"/>
  <c r="C29" i="11" s="1"/>
  <c r="B176" i="2"/>
  <c r="B175" i="2"/>
  <c r="B172" i="2"/>
  <c r="B169" i="2"/>
  <c r="B165" i="2"/>
  <c r="F147" i="2" l="1"/>
  <c r="F13" i="2"/>
  <c r="F18" i="2" s="1"/>
  <c r="D175" i="2"/>
  <c r="F167" i="2"/>
  <c r="F175" i="2" s="1"/>
  <c r="F157" i="2"/>
  <c r="F156" i="2"/>
  <c r="D161" i="2"/>
  <c r="D18" i="2"/>
  <c r="D91" i="2"/>
  <c r="F74" i="2"/>
  <c r="F71" i="2"/>
  <c r="D79" i="2"/>
  <c r="F139" i="2"/>
  <c r="D144" i="2"/>
  <c r="D77" i="2"/>
  <c r="D119" i="2"/>
  <c r="D166" i="2"/>
  <c r="D113" i="2"/>
  <c r="D174" i="2"/>
  <c r="D173" i="2"/>
  <c r="D128" i="2"/>
  <c r="D171" i="2"/>
  <c r="D129" i="2"/>
  <c r="D170" i="2"/>
  <c r="D112" i="2"/>
  <c r="D135" i="2"/>
  <c r="D149" i="2"/>
  <c r="D168" i="2"/>
  <c r="D122" i="2"/>
  <c r="D138" i="2"/>
  <c r="D121" i="2"/>
  <c r="D137" i="2"/>
  <c r="D159" i="2"/>
  <c r="D155" i="2"/>
  <c r="D12" i="2"/>
  <c r="D76" i="2"/>
  <c r="D16" i="2"/>
  <c r="D74" i="2"/>
  <c r="D15" i="2"/>
  <c r="D73" i="2"/>
  <c r="D84" i="2"/>
  <c r="D71" i="2"/>
  <c r="D88" i="2"/>
  <c r="D70" i="2"/>
  <c r="D67" i="2"/>
  <c r="D68" i="2"/>
  <c r="D78" i="2"/>
  <c r="D89" i="2"/>
  <c r="D86" i="2"/>
  <c r="D17" i="2"/>
  <c r="G139" i="2"/>
  <c r="G123" i="2"/>
  <c r="F123" i="2"/>
  <c r="F146" i="2"/>
  <c r="F148" i="2"/>
  <c r="F160" i="2"/>
  <c r="F90" i="2"/>
  <c r="F87" i="2"/>
  <c r="D111" i="3"/>
  <c r="C185" i="2" s="1"/>
  <c r="C28" i="11" s="1"/>
  <c r="B162" i="2"/>
  <c r="B161" i="2"/>
  <c r="B158" i="2"/>
  <c r="B154" i="2"/>
  <c r="D101" i="3"/>
  <c r="C184" i="2" s="1"/>
  <c r="C27" i="11" s="1"/>
  <c r="B151" i="2"/>
  <c r="B150" i="2"/>
  <c r="B145" i="2"/>
  <c r="B143" i="2"/>
  <c r="D85" i="3"/>
  <c r="C183" i="2" s="1"/>
  <c r="C26" i="11" s="1"/>
  <c r="B134" i="2"/>
  <c r="B133" i="2"/>
  <c r="B132" i="2"/>
  <c r="B131" i="2"/>
  <c r="B130" i="2"/>
  <c r="B127" i="2"/>
  <c r="B136" i="2"/>
  <c r="B139" i="2"/>
  <c r="B140" i="2"/>
  <c r="B124" i="2"/>
  <c r="B123" i="2"/>
  <c r="B120" i="2"/>
  <c r="B118" i="2"/>
  <c r="B117" i="2"/>
  <c r="B116" i="2"/>
  <c r="B115" i="2"/>
  <c r="B114" i="2"/>
  <c r="B111" i="2"/>
  <c r="D77" i="3"/>
  <c r="C182" i="2" s="1"/>
  <c r="C25" i="11" s="1"/>
  <c r="B108" i="2"/>
  <c r="B107" i="2"/>
  <c r="B103" i="2"/>
  <c r="B100" i="2"/>
  <c r="B99" i="2"/>
  <c r="B95" i="2"/>
  <c r="B92" i="2"/>
  <c r="B91" i="2"/>
  <c r="B85" i="2"/>
  <c r="B83" i="2"/>
  <c r="D65" i="3"/>
  <c r="C181" i="2" s="1"/>
  <c r="C24" i="11" s="1"/>
  <c r="D48" i="3"/>
  <c r="C180" i="2" s="1"/>
  <c r="C23" i="11" s="1"/>
  <c r="D26" i="3"/>
  <c r="C179" i="2" s="1"/>
  <c r="C22" i="11" s="1"/>
  <c r="B80" i="2"/>
  <c r="B79" i="2"/>
  <c r="B75" i="2"/>
  <c r="B72" i="2"/>
  <c r="B69" i="2"/>
  <c r="B66" i="2"/>
  <c r="B63" i="2"/>
  <c r="B62" i="2"/>
  <c r="B61" i="2"/>
  <c r="B59" i="2"/>
  <c r="B51" i="2"/>
  <c r="C34" i="3" s="1"/>
  <c r="B44" i="2"/>
  <c r="C27" i="3" s="1"/>
  <c r="B54" i="2"/>
  <c r="C37" i="3" s="1"/>
  <c r="B41" i="2"/>
  <c r="B40" i="2"/>
  <c r="B38" i="2"/>
  <c r="B30" i="2"/>
  <c r="B22" i="2"/>
  <c r="B33" i="2"/>
  <c r="C63" i="2"/>
  <c r="B19" i="2"/>
  <c r="B18" i="2"/>
  <c r="B14" i="2"/>
  <c r="D8" i="3"/>
  <c r="D7" i="3"/>
  <c r="D6" i="3"/>
  <c r="C8" i="3"/>
  <c r="C7" i="3"/>
  <c r="C6" i="3"/>
  <c r="D176" i="2" l="1"/>
  <c r="G161" i="2"/>
  <c r="D150" i="2"/>
  <c r="G18" i="2"/>
  <c r="I18" i="2" s="1"/>
  <c r="G175" i="2"/>
  <c r="I175" i="2" s="1"/>
  <c r="G79" i="2"/>
  <c r="F79" i="2"/>
  <c r="I139" i="2"/>
  <c r="D162" i="2"/>
  <c r="D139" i="2"/>
  <c r="D123" i="2"/>
  <c r="D80" i="2"/>
  <c r="D19" i="2"/>
  <c r="D92" i="2"/>
  <c r="I123" i="2"/>
  <c r="G150" i="2"/>
  <c r="F161" i="2"/>
  <c r="F150" i="2"/>
  <c r="G91" i="2"/>
  <c r="F91" i="2"/>
  <c r="H48" i="3" l="1"/>
  <c r="H65" i="3"/>
  <c r="H101" i="3"/>
  <c r="H111" i="3"/>
  <c r="I79" i="2"/>
  <c r="H63" i="3" s="1"/>
  <c r="D125" i="2"/>
  <c r="I150" i="2"/>
  <c r="H109" i="3" s="1"/>
  <c r="J109" i="3" s="1"/>
  <c r="I161" i="2"/>
  <c r="H119" i="3" s="1"/>
  <c r="I91" i="2"/>
  <c r="H75" i="3" s="1"/>
  <c r="J75" i="3" s="1"/>
  <c r="C97" i="3"/>
  <c r="D132" i="3"/>
  <c r="D55" i="3"/>
  <c r="D86" i="3"/>
  <c r="D17" i="3"/>
  <c r="C96" i="3"/>
  <c r="D118" i="3"/>
  <c r="C125" i="3"/>
  <c r="D133" i="3"/>
  <c r="D60" i="3"/>
  <c r="D83" i="3"/>
  <c r="D61" i="3"/>
  <c r="C71" i="3"/>
  <c r="D115" i="3"/>
  <c r="D19" i="3"/>
  <c r="D104" i="3"/>
  <c r="D105" i="3"/>
  <c r="D43" i="3"/>
  <c r="C60" i="3"/>
  <c r="D108" i="3"/>
  <c r="D20" i="3"/>
  <c r="C59" i="3"/>
  <c r="D96" i="3"/>
  <c r="C22" i="3"/>
  <c r="D94" i="3"/>
  <c r="D69" i="3"/>
  <c r="C133" i="3"/>
  <c r="D67" i="3"/>
  <c r="D71" i="3"/>
  <c r="D51" i="3"/>
  <c r="D53" i="3"/>
  <c r="D16" i="3"/>
  <c r="D62" i="3"/>
  <c r="D93" i="3"/>
  <c r="C53" i="3"/>
  <c r="C67" i="3"/>
  <c r="D50" i="3"/>
  <c r="D49" i="3"/>
  <c r="C130" i="3"/>
  <c r="D70" i="3"/>
  <c r="C70" i="3" s="1"/>
  <c r="D25" i="2"/>
  <c r="D107" i="3"/>
  <c r="D109" i="3"/>
  <c r="D54" i="3"/>
  <c r="C54" i="3" s="1"/>
  <c r="C123" i="3"/>
  <c r="D80" i="3"/>
  <c r="C80" i="3" s="1"/>
  <c r="C16" i="3"/>
  <c r="C103" i="3"/>
  <c r="D122" i="3"/>
  <c r="D68" i="3"/>
  <c r="D74" i="3"/>
  <c r="C126" i="3"/>
  <c r="D102" i="3"/>
  <c r="D24" i="3"/>
  <c r="C113" i="3"/>
  <c r="C114" i="3"/>
  <c r="D63" i="3"/>
  <c r="D52" i="3"/>
  <c r="D73" i="3"/>
  <c r="C73" i="3" s="1"/>
  <c r="C122" i="3"/>
  <c r="C17" i="3"/>
  <c r="D127" i="3"/>
  <c r="D128" i="3"/>
  <c r="D116" i="3"/>
  <c r="D59" i="3"/>
  <c r="C94" i="3"/>
  <c r="D117" i="3"/>
  <c r="C117" i="3" s="1"/>
  <c r="D72" i="3"/>
  <c r="D75" i="3"/>
  <c r="C61" i="3"/>
  <c r="D35" i="2"/>
  <c r="D56" i="2"/>
  <c r="D66" i="3"/>
  <c r="D129" i="3"/>
  <c r="C127" i="3"/>
  <c r="C116" i="3"/>
  <c r="C50" i="3"/>
  <c r="D44" i="3"/>
  <c r="D130" i="3"/>
  <c r="D24" i="2"/>
  <c r="C132" i="3"/>
  <c r="D45" i="3"/>
  <c r="D78" i="3"/>
  <c r="C105" i="3"/>
  <c r="D82" i="3"/>
  <c r="D57" i="3"/>
  <c r="C57" i="3" s="1"/>
  <c r="C72" i="3"/>
  <c r="D95" i="3"/>
  <c r="D113" i="3"/>
  <c r="C129" i="3"/>
  <c r="D103" i="3"/>
  <c r="D123" i="3"/>
  <c r="D125" i="3"/>
  <c r="C56" i="3"/>
  <c r="C87" i="3"/>
  <c r="D124" i="3"/>
  <c r="C124" i="3" s="1"/>
  <c r="D21" i="3"/>
  <c r="D92" i="3"/>
  <c r="C51" i="3"/>
  <c r="D119" i="3"/>
  <c r="D126" i="3"/>
  <c r="D18" i="3"/>
  <c r="C18" i="3" s="1"/>
  <c r="D58" i="3"/>
  <c r="D87" i="3"/>
  <c r="D42" i="3"/>
  <c r="D81" i="3"/>
  <c r="C81" i="3" s="1"/>
  <c r="D22" i="3"/>
  <c r="C107" i="3"/>
  <c r="D131" i="3"/>
  <c r="D88" i="3"/>
  <c r="C20" i="3"/>
  <c r="D89" i="3"/>
  <c r="C21" i="3"/>
  <c r="C131" i="3"/>
  <c r="E106" i="2"/>
  <c r="D106" i="2" s="1"/>
  <c r="D112" i="3"/>
  <c r="D23" i="3"/>
  <c r="D90" i="3"/>
  <c r="D91" i="3"/>
  <c r="D56" i="3"/>
  <c r="C88" i="3"/>
  <c r="D98" i="3"/>
  <c r="D106" i="3"/>
  <c r="C106" i="3" s="1"/>
  <c r="D97" i="3"/>
  <c r="C128" i="3"/>
  <c r="D99" i="3"/>
  <c r="C69" i="3"/>
  <c r="C79" i="3"/>
  <c r="C58" i="3"/>
  <c r="C63" i="3"/>
  <c r="C23" i="3"/>
  <c r="C24" i="3"/>
  <c r="C45" i="3"/>
  <c r="C75" i="3"/>
  <c r="C86" i="3"/>
  <c r="C115" i="3"/>
  <c r="C109" i="3"/>
  <c r="C98" i="3"/>
  <c r="C46" i="3"/>
  <c r="C66" i="3"/>
  <c r="C78" i="3"/>
  <c r="C89" i="3"/>
  <c r="C83" i="3"/>
  <c r="C44" i="3"/>
  <c r="C90" i="3"/>
  <c r="C43" i="3"/>
  <c r="C55" i="3"/>
  <c r="C91" i="3"/>
  <c r="C92" i="3"/>
  <c r="C102" i="3"/>
  <c r="C74" i="3"/>
  <c r="C49" i="3"/>
  <c r="C108" i="3"/>
  <c r="C104" i="3"/>
  <c r="C118" i="3"/>
  <c r="C52" i="3"/>
  <c r="C68" i="3"/>
  <c r="C119" i="3"/>
  <c r="C62" i="3"/>
  <c r="D46" i="3"/>
  <c r="C99" i="3"/>
  <c r="C112" i="3"/>
  <c r="C19" i="3"/>
  <c r="C93" i="3"/>
  <c r="C95" i="3"/>
  <c r="C82" i="3"/>
  <c r="H24" i="3"/>
  <c r="J24" i="3" s="1"/>
  <c r="D178" i="2" s="1"/>
  <c r="H133" i="3"/>
  <c r="D57" i="2"/>
  <c r="E105" i="2"/>
  <c r="D105" i="2" s="1"/>
  <c r="D48" i="2"/>
  <c r="D29" i="2"/>
  <c r="D36" i="2"/>
  <c r="E97" i="2"/>
  <c r="D97" i="2" s="1"/>
  <c r="D37" i="2"/>
  <c r="E39" i="2"/>
  <c r="D39" i="2" s="1"/>
  <c r="D27" i="2"/>
  <c r="D50" i="2"/>
  <c r="D45" i="2"/>
  <c r="D23" i="2"/>
  <c r="E98" i="2"/>
  <c r="D98" i="2" s="1"/>
  <c r="D60" i="2"/>
  <c r="D47" i="2"/>
  <c r="D53" i="2"/>
  <c r="D49" i="2"/>
  <c r="D28" i="2"/>
  <c r="D26" i="2"/>
  <c r="D58" i="2"/>
  <c r="D31" i="2"/>
  <c r="E104" i="2"/>
  <c r="D32" i="2"/>
  <c r="D52" i="2"/>
  <c r="E96" i="2"/>
  <c r="J133" i="3" l="1"/>
  <c r="D186" i="2" s="1"/>
  <c r="D181" i="2"/>
  <c r="J63" i="3"/>
  <c r="D180" i="2" s="1"/>
  <c r="H99" i="3"/>
  <c r="J99" i="3" s="1"/>
  <c r="D183" i="2" s="1"/>
  <c r="D184" i="2"/>
  <c r="J119" i="3"/>
  <c r="D185" i="2" s="1"/>
  <c r="F35" i="2"/>
  <c r="F97" i="2"/>
  <c r="F105" i="2"/>
  <c r="F56" i="2"/>
  <c r="F178" i="2"/>
  <c r="E179" i="2" s="1"/>
  <c r="B22" i="11" s="1"/>
  <c r="F31" i="2"/>
  <c r="F27" i="2"/>
  <c r="F29" i="2"/>
  <c r="H85" i="3"/>
  <c r="F39" i="2"/>
  <c r="F96" i="2"/>
  <c r="F32" i="2"/>
  <c r="F28" i="2"/>
  <c r="F34" i="2"/>
  <c r="F23" i="2"/>
  <c r="F37" i="2"/>
  <c r="F25" i="2"/>
  <c r="F36" i="2"/>
  <c r="F26" i="2"/>
  <c r="D96" i="2"/>
  <c r="D104" i="2"/>
  <c r="F47" i="2"/>
  <c r="D34" i="2"/>
  <c r="F52" i="2"/>
  <c r="F58" i="2"/>
  <c r="F53" i="2"/>
  <c r="F57" i="2"/>
  <c r="F45" i="2"/>
  <c r="F55" i="2"/>
  <c r="D107" i="2"/>
  <c r="F50" i="2"/>
  <c r="F104" i="2"/>
  <c r="F60" i="2"/>
  <c r="F48" i="2"/>
  <c r="D55" i="2"/>
  <c r="D63" i="2" s="1"/>
  <c r="F98" i="2"/>
  <c r="D99" i="2"/>
  <c r="F106" i="2"/>
  <c r="F46" i="2"/>
  <c r="F24" i="2"/>
  <c r="G61" i="2" l="1"/>
  <c r="F61" i="2"/>
  <c r="G40" i="2"/>
  <c r="F40" i="2"/>
  <c r="F99" i="2"/>
  <c r="G99" i="2"/>
  <c r="D100" i="2"/>
  <c r="D108" i="2"/>
  <c r="D41" i="2"/>
  <c r="G107" i="2"/>
  <c r="F107" i="2"/>
  <c r="D101" i="2" l="1"/>
  <c r="D42" i="2"/>
  <c r="H46" i="3" s="1"/>
  <c r="I40" i="2"/>
  <c r="I99" i="2"/>
  <c r="I107" i="2"/>
  <c r="I61" i="2"/>
  <c r="J46" i="3" l="1"/>
  <c r="D179" i="2" s="1"/>
  <c r="H77" i="3"/>
  <c r="H83" i="3"/>
  <c r="J83" i="3" s="1"/>
  <c r="H26" i="3"/>
  <c r="D182" i="2" l="1"/>
  <c r="F179" i="2"/>
  <c r="E180" i="2" s="1"/>
  <c r="B23" i="11" s="1"/>
  <c r="I6" i="3"/>
  <c r="F180" i="2" l="1"/>
  <c r="E181" i="2" s="1"/>
  <c r="B24" i="11" s="1"/>
  <c r="I11" i="3"/>
  <c r="I8" i="3"/>
  <c r="F181" i="2" l="1"/>
  <c r="E182" i="2" s="1"/>
  <c r="B25" i="11" s="1"/>
  <c r="F182" i="2" l="1"/>
  <c r="E183" i="2" s="1"/>
  <c r="B26" i="11" l="1"/>
  <c r="F183" i="2"/>
  <c r="E184" i="2" s="1"/>
  <c r="B27" i="11" l="1"/>
  <c r="F184" i="2"/>
  <c r="E185" i="2" s="1"/>
  <c r="B28" i="11" l="1"/>
  <c r="F185" i="2"/>
  <c r="E186" i="2" s="1"/>
  <c r="B29" i="11" l="1"/>
  <c r="F186" i="2"/>
  <c r="E187" i="2" s="1"/>
  <c r="B30" i="11" s="1"/>
</calcChain>
</file>

<file path=xl/sharedStrings.xml><?xml version="1.0" encoding="utf-8"?>
<sst xmlns="http://schemas.openxmlformats.org/spreadsheetml/2006/main" count="325" uniqueCount="190">
  <si>
    <t>Maximum aantal maanden</t>
  </si>
  <si>
    <t>Totale planning</t>
  </si>
  <si>
    <t>Ja</t>
  </si>
  <si>
    <t>Nee</t>
  </si>
  <si>
    <t>Uitgangspunten</t>
  </si>
  <si>
    <t>Is er sprake van een locatie- of gebiedsontwikkeling?</t>
  </si>
  <si>
    <t>Is er sprake van een BOPA of wijziging omgevingsplan?</t>
  </si>
  <si>
    <t>Wat is het moment van bouwvoorbereiding?</t>
  </si>
  <si>
    <t>Locatieontwikkeling</t>
  </si>
  <si>
    <t>Gebiedsontwikkeling</t>
  </si>
  <si>
    <t>BOPA</t>
  </si>
  <si>
    <t>Wijziging omgevingsplan</t>
  </si>
  <si>
    <t>Gelijktijdig</t>
  </si>
  <si>
    <t>Chronologisch</t>
  </si>
  <si>
    <t>Antwoordmogelijkheden</t>
  </si>
  <si>
    <t>Vragen</t>
  </si>
  <si>
    <t>Stap 1 - Beleidsmatig</t>
  </si>
  <si>
    <t>Zijn er prestatieafspraken gemaakt tussen de gemeente en woningcorporatie?</t>
  </si>
  <si>
    <t>Is het project opgenomen in de gemeentelijke omgevingsvisie of een omgevingsprogramma?</t>
  </si>
  <si>
    <t>Is het project opgenomen in de portefeuillestrategie van de woningcorporatie?</t>
  </si>
  <si>
    <t>Voor hoeveel procent is Stap 1 - Beleidsmatig voor dit project voltooid?</t>
  </si>
  <si>
    <t>Voltooiing Stap 1 - Beleidsmatig</t>
  </si>
  <si>
    <t>Stap 2 - Kaders</t>
  </si>
  <si>
    <t>GO</t>
  </si>
  <si>
    <t>Participatieproces</t>
  </si>
  <si>
    <t>Voltooiing Stap 2 - Kaders</t>
  </si>
  <si>
    <t>Is de aanvraag voor een principeverzoek ingediend?</t>
  </si>
  <si>
    <t>Wordt er gebruik gemaakt van een omgevingstafel?</t>
  </si>
  <si>
    <t>1.</t>
  </si>
  <si>
    <t>2.</t>
  </si>
  <si>
    <t>3.</t>
  </si>
  <si>
    <t>4.</t>
  </si>
  <si>
    <t>5.</t>
  </si>
  <si>
    <t>6.</t>
  </si>
  <si>
    <t>A. Prestatieafspraken</t>
  </si>
  <si>
    <t>B. Duiding van locaties</t>
  </si>
  <si>
    <t>Is er sprake van inbreiding ten opzichte van de bestaande kern?</t>
  </si>
  <si>
    <t>Is er tussen de private partijen een samenwerkingsafspraak/overeenkomst vastgelegd?</t>
  </si>
  <si>
    <t>Heeft de woningcorporatie een besluit genomen inzake de interne opdracht?</t>
  </si>
  <si>
    <t>Is een quickscan milieuaspecten uitgevoerd?</t>
  </si>
  <si>
    <t>Is de haalbaarheid op basis van diverse beleidsterreinen inzichtelijk gemaakt?</t>
  </si>
  <si>
    <t>Heeft de woningcorporatie een scenariobesluit genomen?</t>
  </si>
  <si>
    <t>Ligt er een ontwikkelkader/nota van uitgangspunten waaraan de ontwikkeling moet voldoen?</t>
  </si>
  <si>
    <t>Ligt er een plan voor het participatieproces?</t>
  </si>
  <si>
    <t>Voor hoeveel procent is Stap 2 - Kaders voor dit project voltooid?</t>
  </si>
  <si>
    <t>LO</t>
  </si>
  <si>
    <t>Stap 3 - Rekenen en tekenen</t>
  </si>
  <si>
    <t>A. Schets ontwerp</t>
  </si>
  <si>
    <t>Is een schets ontwerp vormgegeven?</t>
  </si>
  <si>
    <t>Is er sprake van een fasering en/of deelgebieden?</t>
  </si>
  <si>
    <t>B. Opzet gebieds- en vastgoedexploitatie</t>
  </si>
  <si>
    <t>Ligt er een (opzet) gebieds- en vastgoedexploitatie?</t>
  </si>
  <si>
    <t>C. Voorlopig ontwerp en bijstellen gebieds- en vastgoedexploitatie</t>
  </si>
  <si>
    <t>Ligt er een voorlopig ontwerp?</t>
  </si>
  <si>
    <t>Is er voldoende draagvlak voor het plan bij de omgeving?</t>
  </si>
  <si>
    <t>Is er voldoende draagvlak voor het plan bij de politiek/gemeenteraad?</t>
  </si>
  <si>
    <t>Is er sprake van een uitgebreide vorm van participatie?</t>
  </si>
  <si>
    <t>Voltooiing Stap 3 - Rekenen en tekenen</t>
  </si>
  <si>
    <t>Voor hoeveel procent is Stap 3 - Rekenen en tekenen voor dit project voltooid?</t>
  </si>
  <si>
    <t>Stap 4 - Businesscase</t>
  </si>
  <si>
    <t xml:space="preserve">A. Ontwikkelbesluit </t>
  </si>
  <si>
    <t xml:space="preserve">B. Afspraken maken kostenverhaal </t>
  </si>
  <si>
    <t>Hebben de ontwikkelende partijen een ontwikkelbesluit genomen?</t>
  </si>
  <si>
    <t>Is er sprake van een sluitende businesscase?</t>
  </si>
  <si>
    <t>Zo nee, zijn er middelen beschikbaar om het verschil op te vangen?</t>
  </si>
  <si>
    <t>Zijn er afspraken gemaakt over het kostenverhaal?</t>
  </si>
  <si>
    <t>Zo ja, zijn er regels kostenverhaal opgesteld?</t>
  </si>
  <si>
    <t>Is er een noodzaak voor de gemeente om regels kostenverhaal op te stellen?</t>
  </si>
  <si>
    <t>Voltooiing Stap 4 - Businesscase</t>
  </si>
  <si>
    <t>Voor hoeveel procent is Stap 4 - Businesscase voltooid?</t>
  </si>
  <si>
    <t>a.</t>
  </si>
  <si>
    <t>Stap 5 - Contractueel</t>
  </si>
  <si>
    <t>A. Samenwerkingsovereenkomst</t>
  </si>
  <si>
    <t>Zijn er over de rollen, verantwoordelijkheden en risico's van de planrealisatie (principe)afspraken gemaakt tussen de partijen?</t>
  </si>
  <si>
    <t>Voltooiing Stap 5 - Contractueel</t>
  </si>
  <si>
    <t>Voor hoeveel procent is Stap 5 - Contractueel voltooid?</t>
  </si>
  <si>
    <t>A. Anterieure overeenkomst</t>
  </si>
  <si>
    <t>Stap 6 - Ruimtelijke procedure</t>
  </si>
  <si>
    <t>A. Voorbereiding ontwerp wijziging omgevingsplan</t>
  </si>
  <si>
    <t>Is de ontwikkeling mogelijk binnen de regels van het huidige omgevingsplan?</t>
  </si>
  <si>
    <t>Zijn er onderzoeken noodzakelijk om de wijziging van het omgevingsplan door te kunnen voeren? Bijvoorbeeld…</t>
  </si>
  <si>
    <t>… geluid</t>
  </si>
  <si>
    <t>… stikstof</t>
  </si>
  <si>
    <t>… milieu</t>
  </si>
  <si>
    <t>… bodemverontreiniging</t>
  </si>
  <si>
    <t>… anders</t>
  </si>
  <si>
    <t>Is er sprake van een anterieure overeenkomst of een regels kostenverhaal om het kostenverhaal afdoende te regelen?</t>
  </si>
  <si>
    <t>B. Procedure wijziging omgevingsplan</t>
  </si>
  <si>
    <t>WOP</t>
  </si>
  <si>
    <t>Ligt er een besluit voor het ontwerp wijziging omgevingsplan en de vaststelling van de wijziging van het omgevingsplan?</t>
  </si>
  <si>
    <t>Zijn er zienswijzen binnen gekomen op de wijziging van het omgevingsplan?</t>
  </si>
  <si>
    <t>Voltooiing Stap 6 - Ruimtelijke procedure</t>
  </si>
  <si>
    <t>Voor hoeveel procent is Stap 6 - Ruimtelijke procedure voltooid?</t>
  </si>
  <si>
    <t>A. Voorbereiding BOPA</t>
  </si>
  <si>
    <t>Zijn er onderzoeken noodzakelijk om een BOPA te motiveren? Bijvoorbeeld…</t>
  </si>
  <si>
    <t>Is er sprake van een anterieure overeenkomst of kostenverhaalvoorschriften om het kostenverhaal afdoende te regelen?</t>
  </si>
  <si>
    <t>B. Procedure BOPA</t>
  </si>
  <si>
    <t>Ligt er een besluit voor het verlenen van een BOPA?</t>
  </si>
  <si>
    <t>Stap 7 - Bouwende partij</t>
  </si>
  <si>
    <t>A. Realisatiebesluit</t>
  </si>
  <si>
    <t>Heeft de ontwikkelende partij/woningcorporatie een realisatiebesluit genomen?</t>
  </si>
  <si>
    <t>B. Contacteren/aanbesteden</t>
  </si>
  <si>
    <t>Is een aanbesteding voor de selectie van een bouwende partij aan de orde?</t>
  </si>
  <si>
    <t>Zo ja, is dit al uitgevoerd?</t>
  </si>
  <si>
    <t>Zo nee, is contact opgenomen met een bouwende partij?</t>
  </si>
  <si>
    <t>Is een overeenkomst gesloten met een bouwende partij?</t>
  </si>
  <si>
    <t>Voltooiing Stap 7 - Bouwende partij</t>
  </si>
  <si>
    <t>Voor hoeveel procent is Stap 7 - Bouwende partij voltooid?</t>
  </si>
  <si>
    <t>Stap 8 - Omgevingsvergunning</t>
  </si>
  <si>
    <t>Zo nee, ligt er een overzicht aan zaken die nog geregeld dienen te worden voor de aanvraag van de omgevingsvergunning?</t>
  </si>
  <si>
    <t>A. Aanvraag omgevingsvergunning</t>
  </si>
  <si>
    <t>B. Beoordeling omgevingsvergunning</t>
  </si>
  <si>
    <t>Ligt er een besluit omtrent het verlenen van de omgevingsvergunning?</t>
  </si>
  <si>
    <t>Zo ja, is de omgevingsvergunning verleend?</t>
  </si>
  <si>
    <t>Voltooiing Stap 8 - Omgevingsvergunning</t>
  </si>
  <si>
    <t>Voor hoeveel procent is Stap 8 - Omgevingsvergunning voltooid?</t>
  </si>
  <si>
    <t>Stap 9 - Realisatie/planning</t>
  </si>
  <si>
    <t>A. Planning</t>
  </si>
  <si>
    <t>Ligt er een uitvoeringsplanning?</t>
  </si>
  <si>
    <t>Is er extra tijd nodig om het herhuisvestingsproces af te ronden?</t>
  </si>
  <si>
    <t>B. Realisatie</t>
  </si>
  <si>
    <t>Is het vastgoed gerealiseerd?</t>
  </si>
  <si>
    <t>Is de openbare ruimte gerealiseerd?</t>
  </si>
  <si>
    <t>C. Evaluatie</t>
  </si>
  <si>
    <t>Wordt een projectevaluatie uitgevoerd?</t>
  </si>
  <si>
    <t>Wordt een procesevaluatie uitgevoerd?</t>
  </si>
  <si>
    <t>Voltooiing Stap 9 - Realisatie/planning</t>
  </si>
  <si>
    <t>Voor hoeveel procent is Stap 9 - Realisatie/planning voltooid?</t>
  </si>
  <si>
    <t>Antwoorden</t>
  </si>
  <si>
    <t>Toelichting</t>
  </si>
  <si>
    <t>Maximum</t>
  </si>
  <si>
    <t>Waarde complexiteit</t>
  </si>
  <si>
    <t>Complexiteitsfactor</t>
  </si>
  <si>
    <t>Minimum aantal maanden</t>
  </si>
  <si>
    <t>Verschil</t>
  </si>
  <si>
    <t>Totale tijdsduur</t>
  </si>
  <si>
    <t>Potentiële einddatum</t>
  </si>
  <si>
    <t>Startdatum</t>
  </si>
  <si>
    <t>Indicatie tijdsduur</t>
  </si>
  <si>
    <t>Eigen planning resterende tijdsduur</t>
  </si>
  <si>
    <t>Zo ja, ligt er een herhuisvestingsplan?</t>
  </si>
  <si>
    <t>In geval van sloop/nieuwbouw, is er spake van herhuisvesting?</t>
  </si>
  <si>
    <t>Extra</t>
  </si>
  <si>
    <t>Gezamenlijk</t>
  </si>
  <si>
    <t>Tijdsduur</t>
  </si>
  <si>
    <t>Alle tijdsduur is in maanden</t>
  </si>
  <si>
    <t>Doorlooptijd processchema samenwerking woningbouwcorporatie - gemeente</t>
  </si>
  <si>
    <t>Achterliggende waarden</t>
  </si>
  <si>
    <t>Zo ja, maakt het project deel uit van de prestatieafspraken?</t>
  </si>
  <si>
    <t>Zo ja, ligt er een besluit inzake een principeverzoek?</t>
  </si>
  <si>
    <t>Zo ja, is het resultaat van de gebieds- en vastgoedexploitatie positief?</t>
  </si>
  <si>
    <t>Zo ja, is op basis van het voorlopige ontwerp de gebieds- en vastgoedexploitatie bijgesteld?</t>
  </si>
  <si>
    <t>i.</t>
  </si>
  <si>
    <t>Zo ja, is hiervoor een samenwerkings- of anterieure overeenkomst opgesteld?</t>
  </si>
  <si>
    <t>Zo ja, hebben de partijen zich verbonden in deze overeenkomst (ondertekening)?</t>
  </si>
  <si>
    <t>Zo ja, is hiervoor een anterieure overeenkomst opgesteld?</t>
  </si>
  <si>
    <t>Zo ja, kunnen alle partijen zich vinden in de uitvoeringsplanning?</t>
  </si>
  <si>
    <t>Zo ja, is de aanvraag voor de omgevingsvergunning ingediend?</t>
  </si>
  <si>
    <t>Gewenste einddatum</t>
  </si>
  <si>
    <t>Uiterste startdatum</t>
  </si>
  <si>
    <t>Maximaal: 6 maanden</t>
  </si>
  <si>
    <t>Invoer tijdsduur</t>
  </si>
  <si>
    <t>Minimaal: 3 maanden | Maximaal: 9 maanden</t>
  </si>
  <si>
    <t>Minimaal: 6 maanden | Maximaal: 12 maanden</t>
  </si>
  <si>
    <t>Minimaal: 12 maanden | Maximaal: 18 maanden</t>
  </si>
  <si>
    <t>Minimaal: 6 maanden | Maximaal: 9 maanden</t>
  </si>
  <si>
    <t>BASISLIJN</t>
  </si>
  <si>
    <t>POSITIE</t>
  </si>
  <si>
    <t>MIJLPAAL</t>
  </si>
  <si>
    <t>DATUM</t>
  </si>
  <si>
    <t>PROJECTDETAILS</t>
  </si>
  <si>
    <t>Begindatum</t>
  </si>
  <si>
    <t>Einddatum</t>
  </si>
  <si>
    <t>Vul na de uitgangspunten de blauwe cellen in. 
De projecttijdlijn functioneert als alle stappen zijn ingevuld.</t>
  </si>
  <si>
    <t>Tijdlijn</t>
  </si>
  <si>
    <t>Toelichting proces- en planningsschema woningbouwprojecten</t>
  </si>
  <si>
    <t>Is een programma opgesteld voor het project door de woningcorporatie?</t>
  </si>
  <si>
    <t>Zijn er zienswijzen binnen gekomen of bezwaar ingediend inzake de verlening van een BOPA?</t>
  </si>
  <si>
    <t>Is de aanvraag van de omgevingsvergunning voorbereid?</t>
  </si>
  <si>
    <t>A. Onderzoeken haalbaarheid</t>
  </si>
  <si>
    <t>B. Ontwikkelkader/nota van uitgangspunten</t>
  </si>
  <si>
    <t>C. Intentieovereenkomst met principeverzoek</t>
  </si>
  <si>
    <t>Is een intentieovereenkomst opgesteld waardoor een interne opdracht binnen de gemeente mogelijk is?</t>
  </si>
  <si>
    <t xml:space="preserve">Voor de nog te doorlopen stappen is het aan te raden om de vragen te beantwoorden aan de hand van de huidige verwachtingen. </t>
  </si>
  <si>
    <t xml:space="preserve">In de toelichting kunt u uw gedachtegang vermelden en bij nieuwe inzichten de antwoorden wijzigen. </t>
  </si>
  <si>
    <t>De onderstaande tijdlijn werkt naar behoren als er per stap een tijdsduur is weergegeven in de totale planning in het invulblad.</t>
  </si>
  <si>
    <t xml:space="preserve">Dit is een proces- en planningsschema gericht op de samenwerking tussen woningbouwcorporaties en gemeenten (en andere betrokken (markt)partijen). Het schema is ontstaan uit een samenwerking van de gemeente Ridderkerk en corporatie Wooncompas. In opdracht van de Rijksdienst voor Ondernemend Nederland (RVO) heeft Rho Adviseurs dit schema samen met de gemeente Ridderkerk en corporatie Wooncompas verder uitgewerkt tot een meer algemeen toepasbaar interactief proces- en planningsschema. In dit schema vindt u hierdoor mogelijk termen die specifiek zijn voor de situatie in Ridderkerk. </t>
  </si>
  <si>
    <t>Middels het doorlopen van een vragenboom aan de hand van drie uitgangspunten komt u uit op de hoofdstappen van de planning en het proces behorend bij de gekozen uitgangspunten. Het schema gaat onder andere in op de te nemen stappen in de planvorming, de participatie, de samenwerkingsovereenkomsten en de planologische procedure. Aanvullend is in het schema middels interactieve knoppen het besluitvormingstraject binnen gemeente en corporatie zichtbaar gemaakt. Hierdoor wordt zichtbaar wie betrokken zijn vanuit de gemeente en de corporatie en welke producten en besluiten bij een stap horen.</t>
  </si>
  <si>
    <t>Per hoofdstap is ook een tijdsduur weergegeven met een bepaalde bandbreedte. De negen hoofdstappen corresponderen met de negen stappen uit het bijbehorende MS Excelbestand. Hetzelfde geldt voor de sub-stappen. Om de planning op maat te maken voor een specifiek project kunt u gebruik maken van het MS Excelbestand. Hierin worden per stap uit het schema gesloten vragen door u beantwoord om tot een indicatieve tijdsinschatting per stap te komen. Desgewenst kunt u de tijdsindicatie zelf naar boven of naar beneden bijstellen of aangeven dat (een deel van) de stap al is voltooid. Het optellen van de tijdsinschattingen voor alle stappen zorgt tezamen voor een planning en een inschatting van een mogelijke start- of einddatum voor het project.</t>
  </si>
  <si>
    <t xml:space="preserve">Momenteel is het schema en het bijbehorende MS Excelbestand gemaakt voor een specifieke gemeente en corporatie. Voor door u gewenste aanpassingen en uitbreidingen staan wij open: voor eventuele vragen kunt u contact opnemen met het RVO.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</si>
</sst>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3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sz val="8"/>
      <name val="Calibri"/>
      <family val="2"/>
      <scheme val="minor"/>
    </font>
    <font>
      <b/>
      <sz val="11"/>
      <color rgb="FFFF0000"/>
      <name val="Calibri"/>
      <family val="2"/>
      <scheme val="minor"/>
    </font>
    <font>
      <i/>
      <sz val="11"/>
      <color theme="1"/>
      <name val="Calibri"/>
      <family val="2"/>
      <scheme val="minor"/>
    </font>
    <font>
      <sz val="11"/>
      <name val="Calibri"/>
      <family val="2"/>
      <scheme val="minor"/>
    </font>
    <font>
      <b/>
      <sz val="11"/>
      <color theme="2"/>
      <name val="Calibri"/>
      <family val="2"/>
      <scheme val="minor"/>
    </font>
    <font>
      <sz val="11"/>
      <color theme="2"/>
      <name val="Calibri"/>
      <family val="2"/>
      <scheme val="minor"/>
    </font>
    <font>
      <i/>
      <sz val="11"/>
      <name val="Calibri"/>
      <family val="2"/>
      <scheme val="minor"/>
    </font>
    <font>
      <sz val="10"/>
      <color theme="1" tint="0.499984740745262"/>
      <name val="Calibri"/>
      <family val="2"/>
      <scheme val="minor"/>
    </font>
    <font>
      <b/>
      <sz val="11"/>
      <color theme="5"/>
      <name val="Calibri"/>
      <family val="2"/>
      <scheme val="minor"/>
    </font>
    <font>
      <b/>
      <sz val="20"/>
      <color theme="0"/>
      <name val="Calibri"/>
      <family val="2"/>
      <scheme val="minor"/>
    </font>
    <font>
      <sz val="10"/>
      <color theme="5"/>
      <name val="Calibri Light"/>
      <family val="2"/>
      <scheme val="major"/>
    </font>
    <font>
      <sz val="11"/>
      <color theme="1"/>
      <name val="Verdana"/>
      <family val="2"/>
    </font>
    <font>
      <b/>
      <sz val="11"/>
      <color theme="1"/>
      <name val="Verdana"/>
      <family val="2"/>
    </font>
    <font>
      <b/>
      <i/>
      <sz val="11"/>
      <color theme="1"/>
      <name val="Verdana"/>
      <family val="2"/>
    </font>
    <font>
      <i/>
      <sz val="11"/>
      <color theme="1"/>
      <name val="Verdana"/>
      <family val="2"/>
    </font>
    <font>
      <sz val="11"/>
      <color rgb="FFFF0000"/>
      <name val="Verdana"/>
      <family val="2"/>
    </font>
    <font>
      <sz val="10"/>
      <color theme="1" tint="0.499984740745262"/>
      <name val="Verdana"/>
      <family val="2"/>
    </font>
    <font>
      <sz val="10"/>
      <color theme="5"/>
      <name val="Verdana"/>
      <family val="2"/>
    </font>
    <font>
      <b/>
      <sz val="11"/>
      <color theme="0"/>
      <name val="Verdana"/>
      <family val="2"/>
    </font>
    <font>
      <sz val="10"/>
      <color theme="1"/>
      <name val="Verdana"/>
      <family val="2"/>
    </font>
    <font>
      <b/>
      <sz val="11"/>
      <name val="Verdana"/>
      <family val="2"/>
    </font>
    <font>
      <b/>
      <sz val="16"/>
      <name val="Verdana"/>
      <family val="2"/>
    </font>
    <font>
      <sz val="11"/>
      <color theme="0"/>
      <name val="Verdana"/>
      <family val="2"/>
    </font>
    <font>
      <b/>
      <sz val="14"/>
      <color theme="0"/>
      <name val="Verdana"/>
      <family val="2"/>
    </font>
    <font>
      <b/>
      <sz val="11"/>
      <color theme="3"/>
      <name val="Verdana"/>
      <family val="2"/>
    </font>
    <font>
      <sz val="10"/>
      <name val="Verdana"/>
      <family val="2"/>
    </font>
    <font>
      <i/>
      <sz val="11"/>
      <name val="Verdana"/>
      <family val="2"/>
    </font>
    <font>
      <sz val="9"/>
      <color theme="1" tint="0.499984740745262"/>
      <name val="Verdana"/>
      <family val="2"/>
    </font>
    <font>
      <sz val="11"/>
      <color rgb="FF000000"/>
      <name val="Verdana"/>
      <family val="2"/>
    </font>
  </fonts>
  <fills count="9">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3"/>
        <bgColor indexed="64"/>
      </patternFill>
    </fill>
    <fill>
      <patternFill patternType="solid">
        <fgColor theme="3" tint="9.9948118533890809E-2"/>
        <bgColor indexed="64"/>
      </patternFill>
    </fill>
    <fill>
      <patternFill patternType="solid">
        <fgColor theme="5"/>
        <bgColor indexed="64"/>
      </patternFill>
    </fill>
    <fill>
      <patternFill patternType="solid">
        <fgColor theme="1"/>
        <bgColor indexed="64"/>
      </patternFill>
    </fill>
    <fill>
      <patternFill patternType="solid">
        <fgColor theme="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theme="3"/>
      </right>
      <top style="thick">
        <color theme="3"/>
      </top>
      <bottom/>
      <diagonal/>
    </border>
    <border>
      <left/>
      <right/>
      <top style="thick">
        <color theme="3"/>
      </top>
      <bottom/>
      <diagonal/>
    </border>
    <border>
      <left style="thick">
        <color theme="3"/>
      </left>
      <right/>
      <top style="thick">
        <color theme="3"/>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s>
  <cellStyleXfs count="6">
    <xf numFmtId="0" fontId="0" fillId="0" borderId="0"/>
    <xf numFmtId="9" fontId="2" fillId="0" borderId="0" applyFont="0" applyFill="0" applyBorder="0" applyAlignment="0" applyProtection="0"/>
    <xf numFmtId="0" fontId="12" fillId="5" borderId="0">
      <alignment vertical="center"/>
    </xf>
    <xf numFmtId="0" fontId="13" fillId="4" borderId="0" applyNumberFormat="0" applyBorder="0" applyAlignment="0" applyProtection="0"/>
    <xf numFmtId="0" fontId="14" fillId="4" borderId="0" applyNumberFormat="0" applyBorder="0" applyAlignment="0" applyProtection="0"/>
    <xf numFmtId="0" fontId="15" fillId="4" borderId="0" applyNumberFormat="0" applyBorder="0" applyAlignment="0" applyProtection="0"/>
  </cellStyleXfs>
  <cellXfs count="113">
    <xf numFmtId="0" fontId="0" fillId="0" borderId="0" xfId="0"/>
    <xf numFmtId="0" fontId="1" fillId="0" borderId="0" xfId="0" applyFont="1"/>
    <xf numFmtId="164" fontId="1" fillId="0" borderId="0" xfId="0" applyNumberFormat="1" applyFont="1"/>
    <xf numFmtId="0" fontId="4" fillId="0" borderId="0" xfId="0" applyFont="1"/>
    <xf numFmtId="0" fontId="6" fillId="0" borderId="0" xfId="0" applyFont="1"/>
    <xf numFmtId="0" fontId="0" fillId="0" borderId="1" xfId="0" applyBorder="1"/>
    <xf numFmtId="0" fontId="1" fillId="0" borderId="2" xfId="0" applyFont="1" applyBorder="1"/>
    <xf numFmtId="0" fontId="1" fillId="0" borderId="4" xfId="0" applyFont="1" applyBorder="1"/>
    <xf numFmtId="0" fontId="0" fillId="0" borderId="3" xfId="0" applyBorder="1"/>
    <xf numFmtId="0" fontId="0" fillId="0" borderId="4" xfId="0" applyBorder="1"/>
    <xf numFmtId="0" fontId="0" fillId="0" borderId="6" xfId="0" applyBorder="1"/>
    <xf numFmtId="0" fontId="0" fillId="0" borderId="5" xfId="0" applyBorder="1"/>
    <xf numFmtId="0" fontId="0" fillId="0" borderId="3" xfId="0" applyBorder="1" applyAlignment="1">
      <alignment horizontal="left"/>
    </xf>
    <xf numFmtId="0" fontId="7" fillId="0" borderId="3" xfId="0" applyFont="1" applyBorder="1"/>
    <xf numFmtId="0" fontId="0" fillId="0" borderId="4" xfId="0" applyBorder="1" applyAlignment="1">
      <alignment horizontal="left" indent="1"/>
    </xf>
    <xf numFmtId="0" fontId="0" fillId="0" borderId="4" xfId="0" applyBorder="1" applyAlignment="1">
      <alignment wrapText="1"/>
    </xf>
    <xf numFmtId="0" fontId="0" fillId="0" borderId="4" xfId="0" applyBorder="1" applyAlignment="1">
      <alignment horizontal="left"/>
    </xf>
    <xf numFmtId="0" fontId="1" fillId="0" borderId="4" xfId="0" applyFont="1" applyBorder="1" applyAlignment="1">
      <alignment horizontal="left"/>
    </xf>
    <xf numFmtId="0" fontId="0" fillId="0" borderId="6" xfId="0" applyBorder="1" applyAlignment="1">
      <alignment horizontal="left"/>
    </xf>
    <xf numFmtId="0" fontId="1" fillId="0" borderId="2" xfId="0" applyFont="1" applyBorder="1" applyAlignment="1">
      <alignment horizontal="left"/>
    </xf>
    <xf numFmtId="0" fontId="7" fillId="0" borderId="4" xfId="0" applyFont="1" applyBorder="1" applyAlignment="1">
      <alignment horizontal="left" indent="1"/>
    </xf>
    <xf numFmtId="0" fontId="1" fillId="0" borderId="0" xfId="0" applyFont="1" applyAlignment="1">
      <alignment wrapText="1"/>
    </xf>
    <xf numFmtId="0" fontId="8" fillId="0" borderId="4" xfId="0" applyFont="1" applyBorder="1"/>
    <xf numFmtId="0" fontId="3" fillId="0" borderId="0" xfId="0" applyFont="1"/>
    <xf numFmtId="0" fontId="9" fillId="2" borderId="0" xfId="0" applyFont="1" applyFill="1"/>
    <xf numFmtId="0" fontId="10" fillId="2" borderId="0" xfId="0" applyFont="1" applyFill="1"/>
    <xf numFmtId="164" fontId="9" fillId="2" borderId="0" xfId="0" applyNumberFormat="1" applyFont="1" applyFill="1"/>
    <xf numFmtId="14" fontId="0" fillId="0" borderId="0" xfId="0" applyNumberFormat="1"/>
    <xf numFmtId="0" fontId="7" fillId="0" borderId="4" xfId="0" applyFont="1" applyBorder="1" applyAlignment="1">
      <alignment horizontal="left" indent="2"/>
    </xf>
    <xf numFmtId="0" fontId="11" fillId="0" borderId="4" xfId="0" applyFont="1" applyBorder="1" applyAlignment="1">
      <alignment horizontal="left" indent="1"/>
    </xf>
    <xf numFmtId="0" fontId="16" fillId="3" borderId="0" xfId="0" applyFont="1" applyFill="1"/>
    <xf numFmtId="0" fontId="17" fillId="3" borderId="0" xfId="0" applyFont="1" applyFill="1"/>
    <xf numFmtId="0" fontId="19" fillId="3" borderId="0" xfId="0" applyFont="1" applyFill="1"/>
    <xf numFmtId="0" fontId="20" fillId="0" borderId="0" xfId="0" applyFont="1"/>
    <xf numFmtId="0" fontId="20" fillId="3" borderId="0" xfId="0" applyFont="1" applyFill="1"/>
    <xf numFmtId="0" fontId="16" fillId="3" borderId="0" xfId="0" applyFont="1" applyFill="1" applyAlignment="1">
      <alignment vertical="center"/>
    </xf>
    <xf numFmtId="0" fontId="24" fillId="3" borderId="0" xfId="0" applyFont="1" applyFill="1"/>
    <xf numFmtId="0" fontId="16" fillId="6" borderId="0" xfId="0" applyFont="1" applyFill="1"/>
    <xf numFmtId="0" fontId="21" fillId="3" borderId="0" xfId="2" applyFont="1" applyFill="1">
      <alignment vertical="center"/>
    </xf>
    <xf numFmtId="0" fontId="22" fillId="3" borderId="0" xfId="5" applyFont="1" applyFill="1" applyAlignment="1"/>
    <xf numFmtId="14" fontId="21" fillId="3" borderId="0" xfId="2" applyNumberFormat="1" applyFont="1" applyFill="1">
      <alignment vertical="center"/>
    </xf>
    <xf numFmtId="0" fontId="21" fillId="3" borderId="0" xfId="2" applyFont="1" applyFill="1" applyAlignment="1">
      <alignment horizontal="center"/>
    </xf>
    <xf numFmtId="0" fontId="21" fillId="3" borderId="0" xfId="2" applyFont="1" applyFill="1" applyAlignment="1">
      <alignment horizontal="left"/>
    </xf>
    <xf numFmtId="0" fontId="26" fillId="3" borderId="0" xfId="4" applyFont="1" applyFill="1" applyAlignment="1">
      <alignment vertical="center"/>
    </xf>
    <xf numFmtId="0" fontId="17" fillId="6" borderId="0" xfId="0" applyFont="1" applyFill="1"/>
    <xf numFmtId="0" fontId="16" fillId="6" borderId="10" xfId="0" applyFont="1" applyFill="1" applyBorder="1"/>
    <xf numFmtId="14" fontId="18" fillId="6" borderId="0" xfId="0" applyNumberFormat="1" applyFont="1" applyFill="1"/>
    <xf numFmtId="14" fontId="16" fillId="6" borderId="11" xfId="0" applyNumberFormat="1" applyFont="1" applyFill="1" applyBorder="1"/>
    <xf numFmtId="14" fontId="16" fillId="6" borderId="0" xfId="0" applyNumberFormat="1" applyFont="1" applyFill="1"/>
    <xf numFmtId="0" fontId="19" fillId="6" borderId="14" xfId="0" applyFont="1" applyFill="1" applyBorder="1"/>
    <xf numFmtId="0" fontId="16" fillId="7" borderId="0" xfId="0" applyFont="1" applyFill="1"/>
    <xf numFmtId="0" fontId="27" fillId="4" borderId="0" xfId="0" applyFont="1" applyFill="1"/>
    <xf numFmtId="0" fontId="17" fillId="4" borderId="0" xfId="0" applyFont="1" applyFill="1" applyAlignment="1">
      <alignment horizontal="left" vertical="center" wrapText="1"/>
    </xf>
    <xf numFmtId="0" fontId="16" fillId="4" borderId="0" xfId="0" applyFont="1" applyFill="1"/>
    <xf numFmtId="0" fontId="17" fillId="4" borderId="0" xfId="0" applyFont="1" applyFill="1" applyAlignment="1">
      <alignment vertical="center"/>
    </xf>
    <xf numFmtId="0" fontId="16" fillId="4" borderId="0" xfId="0" applyFont="1" applyFill="1" applyAlignment="1">
      <alignment vertical="top"/>
    </xf>
    <xf numFmtId="0" fontId="17" fillId="4" borderId="0" xfId="0" applyFont="1" applyFill="1" applyAlignment="1">
      <alignment vertical="center" wrapText="1"/>
    </xf>
    <xf numFmtId="0" fontId="17" fillId="7" borderId="0" xfId="0" applyFont="1" applyFill="1"/>
    <xf numFmtId="0" fontId="16" fillId="7" borderId="0" xfId="0" applyFont="1" applyFill="1" applyAlignment="1">
      <alignment vertical="top"/>
    </xf>
    <xf numFmtId="0" fontId="17" fillId="7" borderId="0" xfId="0" applyFont="1" applyFill="1" applyAlignment="1">
      <alignment wrapText="1"/>
    </xf>
    <xf numFmtId="0" fontId="19" fillId="6" borderId="0" xfId="0" applyFont="1" applyFill="1"/>
    <xf numFmtId="14" fontId="19" fillId="6" borderId="0" xfId="0" applyNumberFormat="1" applyFont="1" applyFill="1"/>
    <xf numFmtId="0" fontId="18" fillId="7" borderId="0" xfId="0" applyFont="1" applyFill="1"/>
    <xf numFmtId="0" fontId="28" fillId="4" borderId="0" xfId="0" applyFont="1" applyFill="1" applyAlignment="1">
      <alignment vertical="center"/>
    </xf>
    <xf numFmtId="0" fontId="23" fillId="4" borderId="0" xfId="0" applyFont="1" applyFill="1"/>
    <xf numFmtId="14" fontId="17" fillId="7" borderId="0" xfId="0" applyNumberFormat="1" applyFont="1" applyFill="1"/>
    <xf numFmtId="49" fontId="16" fillId="7" borderId="0" xfId="0" applyNumberFormat="1" applyFont="1" applyFill="1"/>
    <xf numFmtId="0" fontId="16" fillId="6" borderId="15" xfId="0" applyFont="1" applyFill="1" applyBorder="1" applyProtection="1">
      <protection locked="0"/>
    </xf>
    <xf numFmtId="14" fontId="16" fillId="6" borderId="12" xfId="0" applyNumberFormat="1" applyFont="1" applyFill="1" applyBorder="1" applyProtection="1">
      <protection locked="0"/>
    </xf>
    <xf numFmtId="14" fontId="19" fillId="6" borderId="15" xfId="0" applyNumberFormat="1" applyFont="1" applyFill="1" applyBorder="1" applyProtection="1">
      <protection locked="0"/>
    </xf>
    <xf numFmtId="0" fontId="17" fillId="8" borderId="0" xfId="0" applyFont="1" applyFill="1" applyAlignment="1" applyProtection="1">
      <alignment wrapText="1"/>
      <protection locked="0"/>
    </xf>
    <xf numFmtId="49" fontId="16" fillId="8" borderId="0" xfId="0" applyNumberFormat="1" applyFont="1" applyFill="1" applyProtection="1">
      <protection locked="0"/>
    </xf>
    <xf numFmtId="0" fontId="17" fillId="4" borderId="0" xfId="0" applyFont="1" applyFill="1"/>
    <xf numFmtId="0" fontId="17" fillId="3" borderId="0" xfId="0" applyFont="1" applyFill="1" applyAlignment="1">
      <alignment wrapText="1"/>
    </xf>
    <xf numFmtId="0" fontId="17" fillId="3" borderId="17" xfId="0" applyFont="1" applyFill="1" applyBorder="1" applyAlignment="1">
      <alignment wrapText="1"/>
    </xf>
    <xf numFmtId="0" fontId="16" fillId="3" borderId="17" xfId="0" applyFont="1" applyFill="1" applyBorder="1"/>
    <xf numFmtId="0" fontId="17" fillId="3" borderId="17" xfId="0" applyFont="1" applyFill="1" applyBorder="1" applyProtection="1">
      <protection locked="0"/>
    </xf>
    <xf numFmtId="0" fontId="17" fillId="7" borderId="17" xfId="0" applyFont="1" applyFill="1" applyBorder="1"/>
    <xf numFmtId="0" fontId="18" fillId="3" borderId="17" xfId="0" applyFont="1" applyFill="1" applyBorder="1"/>
    <xf numFmtId="0" fontId="18" fillId="3" borderId="0" xfId="0" applyFont="1" applyFill="1"/>
    <xf numFmtId="0" fontId="17" fillId="3" borderId="17" xfId="0" applyFont="1" applyFill="1" applyBorder="1"/>
    <xf numFmtId="0" fontId="16" fillId="6" borderId="16" xfId="0" applyFont="1" applyFill="1" applyBorder="1" applyProtection="1">
      <protection locked="0"/>
    </xf>
    <xf numFmtId="9" fontId="16" fillId="6" borderId="16" xfId="1" applyFont="1" applyFill="1" applyBorder="1" applyAlignment="1" applyProtection="1">
      <alignment horizontal="left"/>
      <protection locked="0"/>
    </xf>
    <xf numFmtId="0" fontId="17" fillId="3" borderId="0" xfId="0" applyFont="1" applyFill="1" applyProtection="1">
      <protection locked="0"/>
    </xf>
    <xf numFmtId="0" fontId="16" fillId="3" borderId="0" xfId="0" applyFont="1" applyFill="1" applyProtection="1">
      <protection locked="0"/>
    </xf>
    <xf numFmtId="9" fontId="16" fillId="3" borderId="0" xfId="1" applyFont="1" applyFill="1" applyAlignment="1" applyProtection="1">
      <alignment horizontal="left"/>
      <protection locked="0"/>
    </xf>
    <xf numFmtId="0" fontId="16" fillId="6" borderId="16" xfId="0" applyFont="1" applyFill="1" applyBorder="1" applyAlignment="1" applyProtection="1">
      <alignment vertical="center"/>
      <protection locked="0"/>
    </xf>
    <xf numFmtId="0" fontId="29" fillId="3" borderId="0" xfId="0" applyFont="1" applyFill="1"/>
    <xf numFmtId="0" fontId="25" fillId="3" borderId="9" xfId="3" applyFont="1" applyFill="1" applyBorder="1" applyAlignment="1" applyProtection="1">
      <alignment horizontal="left" vertical="center" indent="1"/>
      <protection hidden="1"/>
    </xf>
    <xf numFmtId="0" fontId="30" fillId="3" borderId="8" xfId="2" applyFont="1" applyFill="1" applyBorder="1" applyProtection="1">
      <alignment vertical="center"/>
      <protection hidden="1"/>
    </xf>
    <xf numFmtId="0" fontId="30" fillId="3" borderId="7" xfId="2" applyFont="1" applyFill="1" applyBorder="1" applyProtection="1">
      <alignment vertical="center"/>
      <protection hidden="1"/>
    </xf>
    <xf numFmtId="0" fontId="30" fillId="3" borderId="0" xfId="2" applyFont="1" applyFill="1" applyAlignment="1" applyProtection="1">
      <alignment horizontal="left" vertical="center" indent="2"/>
      <protection hidden="1"/>
    </xf>
    <xf numFmtId="0" fontId="30" fillId="3" borderId="0" xfId="2" applyFont="1" applyFill="1" applyAlignment="1" applyProtection="1">
      <alignment horizontal="center" vertical="center"/>
      <protection hidden="1"/>
    </xf>
    <xf numFmtId="14" fontId="30" fillId="3" borderId="0" xfId="2" applyNumberFormat="1" applyFont="1" applyFill="1" applyAlignment="1" applyProtection="1">
      <alignment horizontal="left" vertical="center" indent="2"/>
      <protection hidden="1"/>
    </xf>
    <xf numFmtId="165" fontId="30" fillId="3" borderId="0" xfId="2" applyNumberFormat="1" applyFont="1" applyFill="1" applyAlignment="1" applyProtection="1">
      <alignment horizontal="left" vertical="center" indent="2"/>
      <protection hidden="1"/>
    </xf>
    <xf numFmtId="14" fontId="8" fillId="0" borderId="0" xfId="0" applyNumberFormat="1" applyFont="1"/>
    <xf numFmtId="0" fontId="8" fillId="0" borderId="0" xfId="0" applyFont="1"/>
    <xf numFmtId="0" fontId="24" fillId="6" borderId="0" xfId="0" applyFont="1" applyFill="1"/>
    <xf numFmtId="0" fontId="32" fillId="3" borderId="0" xfId="2" applyFont="1" applyFill="1">
      <alignment vertical="center"/>
    </xf>
    <xf numFmtId="0" fontId="30" fillId="3" borderId="0" xfId="2" applyFont="1" applyFill="1">
      <alignment vertical="center"/>
    </xf>
    <xf numFmtId="0" fontId="33" fillId="0" borderId="0" xfId="0" applyFont="1" applyAlignment="1">
      <alignment wrapText="1"/>
    </xf>
    <xf numFmtId="49" fontId="25" fillId="3" borderId="0" xfId="0" applyNumberFormat="1" applyFont="1" applyFill="1"/>
    <xf numFmtId="49" fontId="16" fillId="3" borderId="0" xfId="0" applyNumberFormat="1" applyFont="1" applyFill="1"/>
    <xf numFmtId="49" fontId="19" fillId="3" borderId="0" xfId="0" applyNumberFormat="1" applyFont="1" applyFill="1" applyAlignment="1">
      <alignment horizontal="left" indent="1"/>
    </xf>
    <xf numFmtId="49" fontId="17" fillId="3" borderId="0" xfId="0" applyNumberFormat="1" applyFont="1" applyFill="1"/>
    <xf numFmtId="49" fontId="31" fillId="3" borderId="0" xfId="0" applyNumberFormat="1" applyFont="1" applyFill="1" applyAlignment="1">
      <alignment horizontal="left" indent="1"/>
    </xf>
    <xf numFmtId="49" fontId="16" fillId="3" borderId="0" xfId="0" applyNumberFormat="1" applyFont="1" applyFill="1" applyAlignment="1">
      <alignment horizontal="left" indent="1"/>
    </xf>
    <xf numFmtId="49" fontId="16" fillId="3" borderId="0" xfId="0" applyNumberFormat="1" applyFont="1" applyFill="1" applyAlignment="1">
      <alignment wrapText="1"/>
    </xf>
    <xf numFmtId="49" fontId="19" fillId="3" borderId="0" xfId="0" applyNumberFormat="1" applyFont="1" applyFill="1" applyAlignment="1">
      <alignment horizontal="left" indent="2"/>
    </xf>
    <xf numFmtId="49" fontId="16" fillId="3" borderId="0" xfId="0" applyNumberFormat="1" applyFont="1" applyFill="1" applyAlignment="1">
      <alignment horizontal="left" wrapText="1" indent="1"/>
    </xf>
    <xf numFmtId="0" fontId="16" fillId="6" borderId="13" xfId="0" applyFont="1" applyFill="1" applyBorder="1" applyAlignment="1" applyProtection="1">
      <alignment horizontal="left" vertical="center"/>
      <protection locked="0"/>
    </xf>
    <xf numFmtId="0" fontId="16" fillId="6" borderId="0" xfId="0" applyFont="1" applyFill="1" applyAlignment="1" applyProtection="1">
      <alignment horizontal="left" vertical="center"/>
      <protection locked="0"/>
    </xf>
    <xf numFmtId="0" fontId="16" fillId="6" borderId="10" xfId="0" applyFont="1" applyFill="1" applyBorder="1" applyAlignment="1" applyProtection="1">
      <alignment horizontal="left" vertical="center"/>
      <protection locked="0"/>
    </xf>
  </cellXfs>
  <cellStyles count="6">
    <cellStyle name="Kop 1 2" xfId="3" xr:uid="{82870A57-7E3D-4E15-AE7B-D52D43B8B850}"/>
    <cellStyle name="Kop 2 2" xfId="5" xr:uid="{3897D478-8F86-4F57-861D-FDDC63447497}"/>
    <cellStyle name="Procent" xfId="1" builtinId="5"/>
    <cellStyle name="Standaard" xfId="0" builtinId="0"/>
    <cellStyle name="Standaard 2" xfId="2" xr:uid="{8F7AD9EC-D07C-4C1C-B599-3732241CD21E}"/>
    <cellStyle name="Titel 2" xfId="4" xr:uid="{3DE53207-D8CC-436E-8F15-82E4C4A65A7B}"/>
  </cellStyles>
  <dxfs count="143">
    <dxf>
      <font>
        <strike val="0"/>
        <outline val="0"/>
        <shadow val="0"/>
        <u val="none"/>
        <vertAlign val="baseline"/>
        <name val="Verdana"/>
        <family val="2"/>
        <scheme val="none"/>
      </font>
      <numFmt numFmtId="0" formatCode="General"/>
      <fill>
        <patternFill patternType="solid">
          <fgColor indexed="64"/>
          <bgColor theme="0"/>
        </patternFill>
      </fill>
    </dxf>
    <dxf>
      <font>
        <strike val="0"/>
        <outline val="0"/>
        <shadow val="0"/>
        <u val="none"/>
        <vertAlign val="baseline"/>
        <color auto="1"/>
        <name val="Verdana"/>
        <family val="2"/>
        <scheme val="none"/>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strike val="0"/>
        <outline val="0"/>
        <shadow val="0"/>
        <u val="none"/>
        <vertAlign val="baseline"/>
        <color auto="1"/>
        <name val="Verdana"/>
        <family val="2"/>
        <scheme val="none"/>
      </font>
      <fill>
        <patternFill patternType="solid">
          <fgColor indexed="64"/>
          <bgColor theme="0"/>
        </patternFill>
      </fill>
      <alignment horizontal="left" vertical="center" textRotation="0" wrapText="0" indent="2" justifyLastLine="0" shrinkToFit="0" readingOrder="0"/>
      <protection locked="1" hidden="1"/>
    </dxf>
    <dxf>
      <font>
        <strike val="0"/>
        <outline val="0"/>
        <shadow val="0"/>
        <u val="none"/>
        <vertAlign val="baseline"/>
        <color auto="1"/>
        <name val="Verdana"/>
        <family val="2"/>
        <scheme val="none"/>
      </font>
      <numFmt numFmtId="19" formatCode="d/m/yyyy"/>
      <fill>
        <patternFill patternType="solid">
          <fgColor indexed="64"/>
          <bgColor theme="0"/>
        </patternFill>
      </fill>
      <alignment horizontal="left" vertical="center" textRotation="0" wrapText="0" indent="2" justifyLastLine="0" shrinkToFit="0" readingOrder="0"/>
      <protection locked="1" hidden="1"/>
    </dxf>
    <dxf>
      <font>
        <strike val="0"/>
        <outline val="0"/>
        <shadow val="0"/>
        <u val="none"/>
        <vertAlign val="baseline"/>
        <name val="Verdana"/>
        <family val="2"/>
        <scheme val="none"/>
      </font>
      <fill>
        <patternFill patternType="solid">
          <fgColor indexed="64"/>
          <bgColor theme="0"/>
        </patternFill>
      </fill>
    </dxf>
    <dxf>
      <font>
        <strike val="0"/>
        <outline val="0"/>
        <shadow val="0"/>
        <u val="none"/>
        <vertAlign val="baseline"/>
        <name val="Verdana"/>
        <family val="2"/>
        <scheme val="none"/>
      </font>
      <fill>
        <patternFill patternType="solid">
          <fgColor indexed="64"/>
          <bgColor theme="0"/>
        </patternFill>
      </fill>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theme="1"/>
      </font>
      <fill>
        <patternFill>
          <bgColor theme="5"/>
        </patternFill>
      </fill>
      <border>
        <left style="thin">
          <color auto="1"/>
        </left>
        <right style="thin">
          <color auto="1"/>
        </right>
        <top style="thin">
          <color auto="1"/>
        </top>
        <bottom style="thin">
          <color auto="1"/>
        </bottom>
        <vertical/>
        <horizontal/>
      </border>
    </dxf>
    <dxf>
      <font>
        <color theme="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ill>
        <patternFill>
          <bgColor theme="0"/>
        </patternFill>
      </fill>
      <border>
        <left/>
        <right style="hair">
          <color theme="3"/>
        </right>
        <top/>
        <bottom/>
        <vertical/>
        <horizontal/>
      </border>
    </dxf>
    <dxf>
      <font>
        <b/>
        <i val="0"/>
      </font>
    </dxf>
    <dxf>
      <font>
        <b/>
        <i val="0"/>
      </font>
    </dxf>
    <dxf>
      <font>
        <color auto="1"/>
      </font>
      <fill>
        <patternFill>
          <bgColor theme="5"/>
        </patternFill>
      </fill>
      <border>
        <top style="thin">
          <color auto="1"/>
        </top>
        <bottom style="thin">
          <color auto="1"/>
        </bottom>
        <vertical/>
        <horizontal/>
      </border>
    </dxf>
    <dxf>
      <font>
        <b/>
        <i val="0"/>
      </font>
    </dxf>
    <dxf>
      <font>
        <color auto="1"/>
      </font>
      <fill>
        <patternFill>
          <bgColor theme="5"/>
        </patternFill>
      </fill>
      <border>
        <top style="thin">
          <color auto="1"/>
        </top>
        <bottom style="thin">
          <color auto="1"/>
        </bottom>
        <vertical/>
        <horizontal/>
      </border>
    </dxf>
    <dxf>
      <font>
        <b/>
        <i val="0"/>
      </font>
    </dxf>
    <dxf>
      <font>
        <b/>
        <i val="0"/>
      </font>
    </dxf>
    <dxf>
      <font>
        <b/>
        <i val="0"/>
      </font>
    </dxf>
    <dxf>
      <font>
        <b/>
        <i val="0"/>
      </font>
    </dxf>
    <dxf>
      <font>
        <b/>
        <i val="0"/>
      </font>
    </dxf>
    <dxf>
      <font>
        <b/>
        <i val="0"/>
      </font>
    </dxf>
    <dxf>
      <font>
        <b/>
        <i val="0"/>
      </font>
    </dxf>
    <dxf>
      <font>
        <color auto="1"/>
      </font>
      <fill>
        <patternFill>
          <bgColor theme="5"/>
        </patternFill>
      </fill>
      <border>
        <top style="thin">
          <color auto="1"/>
        </top>
        <bottom style="thin">
          <color auto="1"/>
        </bottom>
        <vertical/>
        <horizontal/>
      </border>
    </dxf>
    <dxf>
      <font>
        <color auto="1"/>
      </font>
      <fill>
        <patternFill>
          <bgColor theme="5"/>
        </patternFill>
      </fill>
      <border>
        <top style="thin">
          <color auto="1"/>
        </top>
        <bottom style="thin">
          <color auto="1"/>
        </bottom>
        <vertical/>
        <horizontal/>
      </border>
    </dxf>
    <dxf>
      <font>
        <b/>
        <i val="0"/>
      </font>
    </dxf>
    <dxf>
      <fill>
        <patternFill>
          <bgColor theme="0"/>
        </patternFill>
      </fill>
      <border>
        <left/>
        <right/>
        <top/>
        <bottom/>
        <vertical/>
        <horizontal/>
      </border>
    </dxf>
    <dxf>
      <font>
        <color auto="1"/>
      </font>
      <fill>
        <patternFill>
          <bgColor theme="5"/>
        </patternFill>
      </fill>
      <border>
        <top style="thin">
          <color auto="1"/>
        </top>
        <bottom style="thin">
          <color auto="1"/>
        </bottom>
        <vertical/>
        <horizontal/>
      </border>
    </dxf>
    <dxf>
      <font>
        <color auto="1"/>
      </font>
      <fill>
        <patternFill>
          <bgColor theme="5"/>
        </patternFill>
      </fill>
      <border>
        <top style="thin">
          <color auto="1"/>
        </top>
        <bottom style="thin">
          <color auto="1"/>
        </bottom>
        <vertical/>
        <horizontal/>
      </border>
    </dxf>
    <dxf>
      <font>
        <b/>
        <i val="0"/>
      </font>
    </dxf>
    <dxf>
      <font>
        <b/>
        <i val="0"/>
      </font>
    </dxf>
    <dxf>
      <font>
        <b/>
        <i val="0"/>
      </font>
    </dxf>
    <dxf>
      <font>
        <color auto="1"/>
      </font>
      <fill>
        <patternFill>
          <bgColor theme="5"/>
        </patternFill>
      </fill>
      <border>
        <top style="thin">
          <color auto="1"/>
        </top>
        <bottom style="thin">
          <color auto="1"/>
        </bottom>
        <vertical/>
        <horizontal/>
      </border>
    </dxf>
    <dxf>
      <font>
        <b/>
        <i val="0"/>
      </font>
    </dxf>
    <dxf>
      <font>
        <color auto="1"/>
      </font>
      <fill>
        <patternFill>
          <fgColor theme="3" tint="0.79992065187536243"/>
          <bgColor theme="5"/>
        </patternFill>
      </fill>
      <border>
        <top style="thin">
          <color auto="1"/>
        </top>
        <bottom style="thin">
          <color auto="1"/>
        </bottom>
        <vertical/>
        <horizontal/>
      </border>
    </dxf>
    <dxf>
      <font>
        <b/>
        <i val="0"/>
      </font>
    </dxf>
    <dxf>
      <font>
        <b/>
        <i val="0"/>
      </font>
    </dxf>
    <dxf>
      <fill>
        <patternFill>
          <bgColor theme="0"/>
        </patternFill>
      </fill>
      <border>
        <left/>
        <right/>
        <top/>
        <bottom/>
        <vertical/>
        <horizontal/>
      </border>
    </dxf>
    <dxf>
      <font>
        <b/>
        <i val="0"/>
      </font>
    </dxf>
    <dxf>
      <fill>
        <patternFill>
          <bgColor theme="5"/>
        </patternFill>
      </fill>
      <border>
        <top style="thin">
          <color auto="1"/>
        </top>
        <bottom style="thin">
          <color auto="1"/>
        </bottom>
        <vertical/>
        <horizontal/>
      </border>
    </dxf>
    <dxf>
      <font>
        <color auto="1"/>
      </font>
      <fill>
        <patternFill>
          <bgColor theme="5"/>
        </patternFill>
      </fill>
      <border>
        <left/>
        <right/>
        <top style="thin">
          <color auto="1"/>
        </top>
        <bottom style="thin">
          <color auto="1"/>
        </bottom>
        <vertical/>
        <horizontal/>
      </border>
    </dxf>
    <dxf>
      <fill>
        <patternFill>
          <bgColor theme="5"/>
        </patternFill>
      </fill>
      <border>
        <top style="thin">
          <color auto="1"/>
        </top>
        <bottom style="thin">
          <color auto="1"/>
        </bottom>
        <vertical/>
        <horizontal/>
      </border>
    </dxf>
    <dxf>
      <fill>
        <patternFill>
          <bgColor theme="0"/>
        </patternFill>
      </fill>
      <border>
        <left/>
        <right/>
        <top/>
        <bottom/>
        <vertical/>
        <horizontal/>
      </border>
    </dxf>
    <dxf>
      <fill>
        <patternFill>
          <bgColor theme="5"/>
        </patternFill>
      </fill>
      <border>
        <top style="thin">
          <color auto="1"/>
        </top>
        <bottom style="thin">
          <color auto="1"/>
        </bottom>
        <vertical/>
        <horizontal/>
      </border>
    </dxf>
    <dxf>
      <font>
        <color auto="1"/>
      </font>
      <fill>
        <patternFill>
          <bgColor theme="5"/>
        </patternFill>
      </fill>
      <border>
        <top style="thin">
          <color auto="1"/>
        </top>
        <bottom style="thin">
          <color auto="1"/>
        </bottom>
        <vertical/>
        <horizontal/>
      </border>
    </dxf>
    <dxf>
      <font>
        <b/>
        <i val="0"/>
      </font>
    </dxf>
    <dxf>
      <font>
        <color auto="1"/>
      </font>
      <fill>
        <patternFill>
          <bgColor theme="5"/>
        </patternFill>
      </fill>
      <border>
        <top style="thin">
          <color auto="1"/>
        </top>
        <bottom style="thin">
          <color auto="1"/>
        </bottom>
        <vertical/>
        <horizontal/>
      </border>
    </dxf>
    <dxf>
      <fill>
        <patternFill>
          <bgColor theme="0"/>
        </patternFill>
      </fill>
      <border>
        <left/>
        <right/>
        <top/>
        <bottom/>
        <vertical/>
        <horizontal/>
      </border>
    </dxf>
    <dxf>
      <font>
        <color auto="1"/>
      </font>
      <fill>
        <patternFill>
          <bgColor theme="5"/>
        </patternFill>
      </fill>
      <border>
        <left/>
        <right/>
        <top style="thin">
          <color auto="1"/>
        </top>
        <bottom style="thin">
          <color auto="1"/>
        </bottom>
        <vertical/>
        <horizontal/>
      </border>
    </dxf>
    <dxf>
      <font>
        <b val="0"/>
        <i val="0"/>
      </font>
      <fill>
        <patternFill>
          <bgColor theme="0"/>
        </patternFill>
      </fill>
      <border>
        <left/>
        <right/>
        <top/>
        <bottom/>
        <vertical/>
        <horizontal/>
      </border>
    </dxf>
    <dxf>
      <font>
        <b/>
        <i val="0"/>
      </font>
    </dxf>
    <dxf>
      <fill>
        <patternFill>
          <bgColor theme="0"/>
        </patternFill>
      </fill>
      <border>
        <left/>
        <right/>
        <top/>
        <bottom/>
        <vertical/>
        <horizontal/>
      </border>
    </dxf>
    <dxf>
      <font>
        <b/>
        <i val="0"/>
      </font>
    </dxf>
    <dxf>
      <font>
        <b/>
        <i val="0"/>
      </font>
    </dxf>
    <dxf>
      <font>
        <b/>
        <i val="0"/>
      </font>
    </dxf>
    <dxf>
      <font>
        <b/>
        <i val="0"/>
      </font>
    </dxf>
    <dxf>
      <font>
        <b/>
        <i val="0"/>
      </font>
    </dxf>
    <dxf>
      <font>
        <b/>
        <i val="0"/>
      </font>
    </dxf>
    <dxf>
      <font>
        <b/>
        <i val="0"/>
      </font>
    </dxf>
    <dxf>
      <font>
        <b/>
        <i val="0"/>
      </font>
    </dxf>
    <dxf>
      <font>
        <b/>
        <i val="0"/>
      </font>
    </dxf>
    <dxf>
      <font>
        <b val="0"/>
        <i/>
      </font>
    </dxf>
    <dxf>
      <font>
        <b/>
        <i val="0"/>
      </font>
    </dxf>
    <dxf>
      <font>
        <b val="0"/>
        <i/>
      </font>
    </dxf>
    <dxf>
      <font>
        <b val="0"/>
        <i/>
      </font>
    </dxf>
    <dxf>
      <font>
        <b/>
        <i val="0"/>
      </font>
    </dxf>
    <dxf>
      <font>
        <b/>
        <i val="0"/>
      </font>
    </dxf>
    <dxf>
      <font>
        <b/>
        <i val="0"/>
      </font>
    </dxf>
    <dxf>
      <font>
        <b/>
        <i val="0"/>
      </font>
    </dxf>
    <dxf>
      <font>
        <b/>
        <i val="0"/>
      </font>
    </dxf>
    <dxf>
      <font>
        <b val="0"/>
        <i/>
      </font>
    </dxf>
    <dxf>
      <font>
        <b val="0"/>
        <i/>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val="0"/>
        <i/>
      </font>
    </dxf>
    <dxf>
      <font>
        <b val="0"/>
        <i/>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i val="0"/>
      </font>
    </dxf>
    <dxf>
      <font>
        <b/>
        <i val="0"/>
      </font>
    </dxf>
    <dxf>
      <font>
        <b val="0"/>
        <i/>
      </font>
    </dxf>
    <dxf>
      <font>
        <b/>
        <i val="0"/>
      </font>
    </dxf>
    <dxf>
      <font>
        <b val="0"/>
        <i val="0"/>
      </font>
      <fill>
        <patternFill patternType="solid">
          <bgColor theme="0"/>
        </patternFill>
      </fill>
      <border>
        <left/>
        <right/>
        <top/>
        <bottom/>
        <vertical/>
        <horizontal/>
      </border>
    </dxf>
    <dxf>
      <font>
        <b/>
        <i val="0"/>
      </font>
    </dxf>
    <dxf>
      <font>
        <b/>
        <i val="0"/>
      </font>
    </dxf>
    <dxf>
      <font>
        <b/>
        <i val="0"/>
      </font>
    </dxf>
    <dxf>
      <font>
        <b val="0"/>
        <i/>
      </font>
    </dxf>
    <dxf>
      <font>
        <b val="0"/>
        <i/>
      </font>
    </dxf>
    <dxf>
      <font>
        <b/>
        <i val="0"/>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val="0"/>
        <i/>
      </font>
    </dxf>
    <dxf>
      <font>
        <b val="0"/>
        <i/>
      </font>
    </dxf>
    <dxf>
      <font>
        <b val="0"/>
        <i/>
      </font>
    </dxf>
    <dxf>
      <font>
        <b/>
        <i val="0"/>
      </font>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TableStyleMedium2" defaultPivotStyle="PivotStyleLight16">
    <tableStyle name="Project Timeline" pivot="0" count="2" xr9:uid="{CB20746E-C42F-4A88-9D72-340F61A04352}">
      <tableStyleElement type="wholeTable" dxfId="142"/>
      <tableStyleElement type="headerRow" dxfId="141"/>
    </tableStyle>
  </tableStyles>
  <colors>
    <mruColors>
      <color rgb="FF007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1"/>
          <c:order val="1"/>
          <c:tx>
            <c:strRef>
              <c:f>Projecttijdlijn!$D$20</c:f>
              <c:strCache>
                <c:ptCount val="1"/>
                <c:pt idx="0">
                  <c:v>POSITIE</c:v>
                </c:pt>
              </c:strCache>
            </c:strRef>
          </c:tx>
          <c:spPr>
            <a:noFill/>
          </c:spPr>
          <c:invertIfNegative val="0"/>
          <c:dLbls>
            <c:dLbl>
              <c:idx val="0"/>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0-19C4-4E46-BEB9-4CD9828DA47B}"/>
                </c:ext>
              </c:extLst>
            </c:dLbl>
            <c:dLbl>
              <c:idx val="1"/>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1-19C4-4E46-BEB9-4CD9828DA47B}"/>
                </c:ext>
              </c:extLst>
            </c:dLbl>
            <c:dLbl>
              <c:idx val="2"/>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2-19C4-4E46-BEB9-4CD9828DA47B}"/>
                </c:ext>
              </c:extLst>
            </c:dLbl>
            <c:dLbl>
              <c:idx val="3"/>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3-19C4-4E46-BEB9-4CD9828DA47B}"/>
                </c:ext>
              </c:extLst>
            </c:dLbl>
            <c:dLbl>
              <c:idx val="4"/>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4-19C4-4E46-BEB9-4CD9828DA47B}"/>
                </c:ext>
              </c:extLst>
            </c:dLbl>
            <c:dLbl>
              <c:idx val="5"/>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5-19C4-4E46-BEB9-4CD9828DA47B}"/>
                </c:ext>
              </c:extLst>
            </c:dLbl>
            <c:dLbl>
              <c:idx val="6"/>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6-19C4-4E46-BEB9-4CD9828DA47B}"/>
                </c:ext>
              </c:extLst>
            </c:dLbl>
            <c:dLbl>
              <c:idx val="7"/>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7-19C4-4E46-BEB9-4CD9828DA47B}"/>
                </c:ext>
              </c:extLst>
            </c:dLbl>
            <c:dLbl>
              <c:idx val="8"/>
              <c:dLblPos val="outEnd"/>
              <c:showLegendKey val="0"/>
              <c:showVal val="0"/>
              <c:showCatName val="1"/>
              <c:showSerName val="0"/>
              <c:showPercent val="0"/>
              <c:showBubbleSize val="0"/>
              <c:extLst>
                <c:ext xmlns:c15="http://schemas.microsoft.com/office/drawing/2012/chart" uri="{CE6537A1-D6FC-4f65-9D91-7224C49458BB}">
                  <c15:layout>
                    <c:manualLayout>
                      <c:w val="0.11206097854822998"/>
                      <c:h val="4.7831682330031315E-2"/>
                    </c:manualLayout>
                  </c15:layout>
                </c:ext>
                <c:ext xmlns:c16="http://schemas.microsoft.com/office/drawing/2014/chart" uri="{C3380CC4-5D6E-409C-BE32-E72D297353CC}">
                  <c16:uniqueId val="{00000008-19C4-4E46-BEB9-4CD9828DA47B}"/>
                </c:ext>
              </c:extLst>
            </c:dLbl>
            <c:spPr>
              <a:solidFill>
                <a:srgbClr val="FFFFFF"/>
              </a:solidFill>
              <a:ln>
                <a:noFill/>
              </a:ln>
              <a:effectLst/>
            </c:spPr>
            <c:txPr>
              <a:bodyPr vertOverflow="overflow" horzOverflow="overflow" wrap="square" lIns="38100" tIns="19050" rIns="38100" bIns="19050" anchor="ctr">
                <a:spAutoFit/>
              </a:bodyPr>
              <a:lstStyle/>
              <a:p>
                <a:pPr>
                  <a:defRPr sz="900" cap="all" spc="10" baseline="0">
                    <a:solidFill>
                      <a:sysClr val="windowText" lastClr="000000"/>
                    </a:solidFill>
                  </a:defRPr>
                </a:pPr>
                <a:endParaRPr lang="nl-NL"/>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errBars>
            <c:errBarType val="minus"/>
            <c:errValType val="percentage"/>
            <c:noEndCap val="0"/>
            <c:val val="100"/>
            <c:spPr>
              <a:ln>
                <a:solidFill>
                  <a:schemeClr val="bg1">
                    <a:lumMod val="75000"/>
                  </a:schemeClr>
                </a:solidFill>
              </a:ln>
            </c:spPr>
          </c:errBars>
          <c:cat>
            <c:strRef>
              <c:f>Projecttijdlijn!$C$21:$C$30</c:f>
              <c:strCache>
                <c:ptCount val="10"/>
                <c:pt idx="0">
                  <c:v>Stap 1 - Beleidsmatig</c:v>
                </c:pt>
                <c:pt idx="1">
                  <c:v>Stap 2 - Kaders</c:v>
                </c:pt>
                <c:pt idx="2">
                  <c:v>Stap 3 - Rekenen en tekenen</c:v>
                </c:pt>
                <c:pt idx="3">
                  <c:v>Stap 4 - Businesscase</c:v>
                </c:pt>
                <c:pt idx="4">
                  <c:v>Stap 5 - Contractueel</c:v>
                </c:pt>
                <c:pt idx="5">
                  <c:v>Stap 6 - Ruimtelijke procedure</c:v>
                </c:pt>
                <c:pt idx="6">
                  <c:v>Stap 7 - Bouwende partij</c:v>
                </c:pt>
                <c:pt idx="7">
                  <c:v>Stap 8 - Omgevingsvergunning</c:v>
                </c:pt>
                <c:pt idx="8">
                  <c:v>Stap 9 - Realisatie/planning</c:v>
                </c:pt>
                <c:pt idx="9">
                  <c:v>Potentiële einddatum</c:v>
                </c:pt>
              </c:strCache>
            </c:strRef>
          </c:cat>
          <c:val>
            <c:numRef>
              <c:f>Projecttijdlijn!$D$21:$D$30</c:f>
              <c:numCache>
                <c:formatCode>General</c:formatCode>
                <c:ptCount val="10"/>
                <c:pt idx="0">
                  <c:v>20</c:v>
                </c:pt>
                <c:pt idx="1">
                  <c:v>-10</c:v>
                </c:pt>
                <c:pt idx="2">
                  <c:v>10</c:v>
                </c:pt>
                <c:pt idx="3">
                  <c:v>-20</c:v>
                </c:pt>
                <c:pt idx="4">
                  <c:v>20</c:v>
                </c:pt>
                <c:pt idx="5">
                  <c:v>-10</c:v>
                </c:pt>
                <c:pt idx="6">
                  <c:v>10</c:v>
                </c:pt>
                <c:pt idx="7">
                  <c:v>-20</c:v>
                </c:pt>
                <c:pt idx="8">
                  <c:v>20</c:v>
                </c:pt>
                <c:pt idx="9">
                  <c:v>-10</c:v>
                </c:pt>
              </c:numCache>
            </c:numRef>
          </c:val>
          <c:extLst>
            <c:ext xmlns:c16="http://schemas.microsoft.com/office/drawing/2014/chart" uri="{C3380CC4-5D6E-409C-BE32-E72D297353CC}">
              <c16:uniqueId val="{0000000C-19C4-4E46-BEB9-4CD9828DA47B}"/>
            </c:ext>
          </c:extLst>
        </c:ser>
        <c:dLbls>
          <c:showLegendKey val="0"/>
          <c:showVal val="0"/>
          <c:showCatName val="0"/>
          <c:showSerName val="0"/>
          <c:showPercent val="0"/>
          <c:showBubbleSize val="0"/>
        </c:dLbls>
        <c:gapWidth val="150"/>
        <c:axId val="34278240"/>
        <c:axId val="34277680"/>
      </c:barChart>
      <c:lineChart>
        <c:grouping val="standard"/>
        <c:varyColors val="0"/>
        <c:ser>
          <c:idx val="0"/>
          <c:order val="0"/>
          <c:tx>
            <c:strRef>
              <c:f>Projecttijdlijn!$B$20</c:f>
              <c:strCache>
                <c:ptCount val="1"/>
                <c:pt idx="0">
                  <c:v>DATUM</c:v>
                </c:pt>
              </c:strCache>
            </c:strRef>
          </c:tx>
          <c:spPr>
            <a:ln>
              <a:noFill/>
            </a:ln>
          </c:spPr>
          <c:marker>
            <c:symbol val="circle"/>
            <c:size val="4"/>
            <c:spPr>
              <a:solidFill>
                <a:schemeClr val="accent1"/>
              </a:solidFill>
              <a:ln w="60325">
                <a:solidFill>
                  <a:schemeClr val="accent1"/>
                </a:solidFill>
              </a:ln>
            </c:spPr>
          </c:marker>
          <c:dLbls>
            <c:spPr>
              <a:solidFill>
                <a:sysClr val="window" lastClr="FFFFFF"/>
              </a:solidFill>
              <a:ln w="12700" cap="flat" cmpd="sng" algn="ctr">
                <a:solidFill>
                  <a:srgbClr val="007BC7"/>
                </a:solidFill>
                <a:prstDash val="solid"/>
                <a:miter lim="800000"/>
              </a:ln>
              <a:effectLst/>
            </c:spPr>
            <c:txPr>
              <a:bodyPr wrap="square" lIns="38100" tIns="19050" rIns="38100" bIns="19050" anchor="ctr">
                <a:spAutoFit/>
              </a:bodyPr>
              <a:lstStyle/>
              <a:p>
                <a:pPr>
                  <a:defRPr>
                    <a:solidFill>
                      <a:schemeClr val="dk1"/>
                    </a:solidFill>
                    <a:latin typeface="+mn-lt"/>
                    <a:ea typeface="+mn-ea"/>
                    <a:cs typeface="+mn-cs"/>
                  </a:defRPr>
                </a:pPr>
                <a:endParaRPr lang="nl-NL"/>
              </a:p>
            </c:txPr>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errBars>
            <c:errDir val="y"/>
            <c:errBarType val="both"/>
            <c:errValType val="percentage"/>
            <c:noEndCap val="0"/>
            <c:val val="5"/>
          </c:errBars>
          <c:cat>
            <c:multiLvlStrRef>
              <c:f>Projecttijdlijn!$B$21:$B$30</c:f>
            </c:multiLvlStrRef>
          </c:cat>
          <c:val>
            <c:numRef>
              <c:f>Projecttijdlijn!$E$21:$E$30</c:f>
              <c:numCache>
                <c:formatCode>General</c:formatCode>
                <c:ptCount val="10"/>
                <c:pt idx="0">
                  <c:v>1</c:v>
                </c:pt>
                <c:pt idx="1">
                  <c:v>1</c:v>
                </c:pt>
                <c:pt idx="2">
                  <c:v>1</c:v>
                </c:pt>
                <c:pt idx="3">
                  <c:v>1</c:v>
                </c:pt>
                <c:pt idx="4">
                  <c:v>1</c:v>
                </c:pt>
                <c:pt idx="5">
                  <c:v>1</c:v>
                </c:pt>
                <c:pt idx="6">
                  <c:v>1</c:v>
                </c:pt>
                <c:pt idx="7">
                  <c:v>1</c:v>
                </c:pt>
                <c:pt idx="8">
                  <c:v>1</c:v>
                </c:pt>
                <c:pt idx="9">
                  <c:v>1</c:v>
                </c:pt>
              </c:numCache>
            </c:numRef>
          </c:val>
          <c:smooth val="1"/>
          <c:extLst>
            <c:ext xmlns:c16="http://schemas.microsoft.com/office/drawing/2014/chart" uri="{C3380CC4-5D6E-409C-BE32-E72D297353CC}">
              <c16:uniqueId val="{0000000D-19C4-4E46-BEB9-4CD9828DA47B}"/>
            </c:ext>
          </c:extLst>
        </c:ser>
        <c:dLbls>
          <c:showLegendKey val="0"/>
          <c:showVal val="0"/>
          <c:showCatName val="0"/>
          <c:showSerName val="0"/>
          <c:showPercent val="0"/>
          <c:showBubbleSize val="0"/>
        </c:dLbls>
        <c:marker val="1"/>
        <c:smooth val="0"/>
        <c:axId val="34276560"/>
        <c:axId val="34277120"/>
      </c:lineChart>
      <c:dateAx>
        <c:axId val="34276560"/>
        <c:scaling>
          <c:orientation val="minMax"/>
        </c:scaling>
        <c:delete val="0"/>
        <c:axPos val="b"/>
        <c:numFmt formatCode="d\ mmm;@" sourceLinked="0"/>
        <c:majorTickMark val="cross"/>
        <c:minorTickMark val="in"/>
        <c:tickLblPos val="nextTo"/>
        <c:spPr>
          <a:solidFill>
            <a:schemeClr val="bg2"/>
          </a:solidFill>
          <a:ln w="9525">
            <a:solidFill>
              <a:schemeClr val="bg1">
                <a:lumMod val="65000"/>
              </a:schemeClr>
            </a:solidFill>
            <a:prstDash val="solid"/>
          </a:ln>
        </c:spPr>
        <c:txPr>
          <a:bodyPr/>
          <a:lstStyle/>
          <a:p>
            <a:pPr>
              <a:defRPr sz="800" b="1">
                <a:solidFill>
                  <a:schemeClr val="bg1">
                    <a:lumMod val="65000"/>
                  </a:schemeClr>
                </a:solidFill>
                <a:latin typeface="+mn-lt"/>
              </a:defRPr>
            </a:pPr>
            <a:endParaRPr lang="nl-NL"/>
          </a:p>
        </c:txPr>
        <c:crossAx val="34277120"/>
        <c:crosses val="autoZero"/>
        <c:auto val="1"/>
        <c:lblOffset val="100"/>
        <c:baseTimeUnit val="days"/>
        <c:minorUnit val="1"/>
        <c:minorTimeUnit val="years"/>
      </c:dateAx>
      <c:valAx>
        <c:axId val="34277120"/>
        <c:scaling>
          <c:orientation val="minMax"/>
        </c:scaling>
        <c:delete val="1"/>
        <c:axPos val="l"/>
        <c:numFmt formatCode="General" sourceLinked="1"/>
        <c:majorTickMark val="out"/>
        <c:minorTickMark val="none"/>
        <c:tickLblPos val="nextTo"/>
        <c:crossAx val="34276560"/>
        <c:crosses val="autoZero"/>
        <c:crossBetween val="midCat"/>
      </c:valAx>
      <c:valAx>
        <c:axId val="34277680"/>
        <c:scaling>
          <c:orientation val="minMax"/>
        </c:scaling>
        <c:delete val="1"/>
        <c:axPos val="r"/>
        <c:numFmt formatCode="General" sourceLinked="1"/>
        <c:majorTickMark val="out"/>
        <c:minorTickMark val="none"/>
        <c:tickLblPos val="nextTo"/>
        <c:crossAx val="34278240"/>
        <c:crosses val="max"/>
        <c:crossBetween val="between"/>
      </c:valAx>
      <c:catAx>
        <c:axId val="34278240"/>
        <c:scaling>
          <c:orientation val="minMax"/>
        </c:scaling>
        <c:delete val="1"/>
        <c:axPos val="b"/>
        <c:numFmt formatCode="General" sourceLinked="1"/>
        <c:majorTickMark val="out"/>
        <c:minorTickMark val="none"/>
        <c:tickLblPos val="nextTo"/>
        <c:crossAx val="34277680"/>
        <c:crosses val="autoZero"/>
        <c:auto val="1"/>
        <c:lblAlgn val="ctr"/>
        <c:lblOffset val="100"/>
        <c:noMultiLvlLbl val="0"/>
      </c:catAx>
      <c:spPr>
        <a:noFill/>
      </c:spPr>
    </c:plotArea>
    <c:plotVisOnly val="0"/>
    <c:dispBlanksAs val="gap"/>
    <c:showDLblsOverMax val="0"/>
  </c:chart>
  <c:spPr>
    <a:solidFill>
      <a:schemeClr val="bg2"/>
    </a:solidFill>
    <a:ln>
      <a:noFill/>
    </a:ln>
  </c:sp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14287</xdr:rowOff>
    </xdr:from>
    <xdr:to>
      <xdr:col>14</xdr:col>
      <xdr:colOff>17276</xdr:colOff>
      <xdr:row>17</xdr:row>
      <xdr:rowOff>90487</xdr:rowOff>
    </xdr:to>
    <xdr:graphicFrame macro="">
      <xdr:nvGraphicFramePr>
        <xdr:cNvPr id="2" name="Projecttijdlijn" descr="Line chart that plots each project on the corresponding timeframe." title="Project Timeline">
          <a:extLst>
            <a:ext uri="{FF2B5EF4-FFF2-40B4-BE49-F238E27FC236}">
              <a16:creationId xmlns:a16="http://schemas.microsoft.com/office/drawing/2014/main" id="{D365111A-196B-4CA8-9F9C-536934930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9F4A19-29D5-4305-9DC5-7F3F227A480A}" name="Projectdetails" displayName="Projectdetails" ref="B20:E30" totalsRowShown="0" headerRowDxfId="5" dataDxfId="4">
  <tableColumns count="4">
    <tableColumn id="1" xr3:uid="{00000000-0010-0000-0000-000001000000}" name="DATUM" dataDxfId="3">
      <calculatedColumnFormula>Data!$E178</calculatedColumnFormula>
    </tableColumn>
    <tableColumn id="2" xr3:uid="{00000000-0010-0000-0000-000002000000}" name="MIJLPAAL" dataDxfId="2">
      <calculatedColumnFormula>Data!C178</calculatedColumnFormula>
    </tableColumn>
    <tableColumn id="4" xr3:uid="{00000000-0010-0000-0000-000004000000}" name="POSITIE" dataDxfId="1"/>
    <tableColumn id="5" xr3:uid="{00000000-0010-0000-0000-000005000000}" name="BASISLIJN"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ProjectDetails" altTextSummary="Lijst met datums, mijlpalen en grafiekposities voor het project."/>
    </ext>
  </extLst>
</table>
</file>

<file path=xl/theme/theme1.xml><?xml version="1.0" encoding="utf-8"?>
<a:theme xmlns:a="http://schemas.openxmlformats.org/drawingml/2006/main" name="Kantoorthema">
  <a:themeElements>
    <a:clrScheme name="Aangepast 3">
      <a:dk1>
        <a:sysClr val="windowText" lastClr="000000"/>
      </a:dk1>
      <a:lt1>
        <a:sysClr val="window" lastClr="FFFFFF"/>
      </a:lt1>
      <a:dk2>
        <a:srgbClr val="007BC7"/>
      </a:dk2>
      <a:lt2>
        <a:srgbClr val="E6E6E6"/>
      </a:lt2>
      <a:accent1>
        <a:srgbClr val="007BC7"/>
      </a:accent1>
      <a:accent2>
        <a:srgbClr val="8FCAE7"/>
      </a:accent2>
      <a:accent3>
        <a:srgbClr val="39870C"/>
      </a:accent3>
      <a:accent4>
        <a:srgbClr val="F9E11E"/>
      </a:accent4>
      <a:accent5>
        <a:srgbClr val="E17000"/>
      </a:accent5>
      <a:accent6>
        <a:srgbClr val="D52B1E"/>
      </a:accent6>
      <a:hlink>
        <a:srgbClr val="002060"/>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B1125-A81A-42B7-869C-DBC9A88F1D47}">
  <sheetPr>
    <tabColor theme="3"/>
  </sheetPr>
  <dimension ref="B1:Q154"/>
  <sheetViews>
    <sheetView showGridLines="0" showRowColHeaders="0" tabSelected="1" zoomScale="90" zoomScaleNormal="90" workbookViewId="0">
      <selection activeCell="H19" sqref="H19"/>
    </sheetView>
  </sheetViews>
  <sheetFormatPr defaultColWidth="8.88671875" defaultRowHeight="13.8" x14ac:dyDescent="0.25"/>
  <cols>
    <col min="1" max="1" width="1.109375" style="30" customWidth="1"/>
    <col min="2" max="2" width="0.33203125" style="30" customWidth="1"/>
    <col min="3" max="3" width="2.6640625" style="30" customWidth="1"/>
    <col min="4" max="4" width="116.44140625" style="30" customWidth="1"/>
    <col min="5" max="5" width="0.109375" style="30" customWidth="1"/>
    <col min="6" max="6" width="28.6640625" style="30" customWidth="1"/>
    <col min="7" max="7" width="0.109375" style="30" customWidth="1"/>
    <col min="8" max="8" width="25.109375" style="30" bestFit="1" customWidth="1"/>
    <col min="9" max="9" width="26.44140625" style="30" customWidth="1"/>
    <col min="10" max="10" width="13.109375" style="30" customWidth="1"/>
    <col min="11" max="11" width="0.109375" style="30" customWidth="1"/>
    <col min="12" max="12" width="38.109375" style="30" customWidth="1"/>
    <col min="13" max="13" width="0.33203125" style="30" customWidth="1"/>
    <col min="14" max="14" width="16.33203125" style="30" customWidth="1"/>
    <col min="15" max="16384" width="8.88671875" style="30"/>
  </cols>
  <sheetData>
    <row r="1" spans="2:17" ht="4.2" customHeight="1" x14ac:dyDescent="0.25"/>
    <row r="2" spans="2:17" ht="1.95" customHeight="1" x14ac:dyDescent="0.25">
      <c r="B2" s="50"/>
      <c r="C2" s="50"/>
      <c r="D2" s="50"/>
      <c r="E2" s="50"/>
      <c r="F2" s="50"/>
      <c r="G2" s="50"/>
      <c r="H2" s="50"/>
      <c r="I2" s="50"/>
      <c r="J2" s="50"/>
      <c r="K2" s="50"/>
      <c r="L2" s="50"/>
      <c r="M2" s="50"/>
    </row>
    <row r="3" spans="2:17" ht="25.2" customHeight="1" x14ac:dyDescent="0.25">
      <c r="B3" s="50"/>
      <c r="C3" s="51"/>
      <c r="D3" s="63" t="s">
        <v>146</v>
      </c>
      <c r="E3" s="64"/>
      <c r="F3" s="51"/>
      <c r="G3" s="51"/>
      <c r="H3" s="72"/>
      <c r="I3" s="72"/>
      <c r="J3" s="72"/>
      <c r="K3" s="51"/>
      <c r="L3" s="51"/>
      <c r="M3" s="50"/>
    </row>
    <row r="4" spans="2:17" ht="1.95" customHeight="1" x14ac:dyDescent="0.25">
      <c r="B4" s="50"/>
      <c r="C4" s="50"/>
      <c r="D4" s="50"/>
      <c r="E4" s="50"/>
      <c r="F4" s="50"/>
      <c r="G4" s="50"/>
      <c r="H4" s="57"/>
      <c r="I4" s="65"/>
      <c r="J4" s="50"/>
      <c r="K4" s="50"/>
      <c r="L4" s="50"/>
      <c r="M4" s="50"/>
    </row>
    <row r="5" spans="2:17" x14ac:dyDescent="0.25">
      <c r="B5" s="50"/>
      <c r="C5" s="37"/>
      <c r="D5" s="44" t="s">
        <v>4</v>
      </c>
      <c r="E5" s="37"/>
      <c r="F5" s="45"/>
      <c r="G5" s="50"/>
      <c r="H5" s="44" t="s">
        <v>144</v>
      </c>
      <c r="I5" s="46" t="s">
        <v>145</v>
      </c>
      <c r="J5" s="37"/>
      <c r="K5" s="37"/>
      <c r="L5" s="37"/>
      <c r="M5" s="50"/>
    </row>
    <row r="6" spans="2:17" x14ac:dyDescent="0.25">
      <c r="B6" s="50"/>
      <c r="C6" s="37" t="str">
        <f>Data!B3</f>
        <v>1.</v>
      </c>
      <c r="D6" s="37" t="str">
        <f>Data!C3</f>
        <v>Is er sprake van een locatie- of gebiedsontwikkeling?</v>
      </c>
      <c r="E6" s="37"/>
      <c r="F6" s="67"/>
      <c r="G6" s="50"/>
      <c r="H6" s="37" t="s">
        <v>135</v>
      </c>
      <c r="I6" s="37">
        <f>ROUND(SUM(J19:J136),0)</f>
        <v>0</v>
      </c>
      <c r="J6" s="37"/>
      <c r="K6" s="37"/>
      <c r="L6" s="37"/>
      <c r="M6" s="50"/>
    </row>
    <row r="7" spans="2:17" ht="14.4" x14ac:dyDescent="0.3">
      <c r="B7" s="50"/>
      <c r="C7" s="37" t="str">
        <f>Data!B4</f>
        <v>2.</v>
      </c>
      <c r="D7" s="37" t="str">
        <f>Data!C4</f>
        <v>Is er sprake van een BOPA of wijziging omgevingsplan?</v>
      </c>
      <c r="E7" s="37"/>
      <c r="F7" s="67"/>
      <c r="G7" s="50"/>
      <c r="H7" s="37" t="s">
        <v>137</v>
      </c>
      <c r="I7" s="68"/>
      <c r="J7" s="47"/>
      <c r="K7" s="37"/>
      <c r="L7" s="37"/>
      <c r="M7" s="50"/>
      <c r="O7"/>
    </row>
    <row r="8" spans="2:17" x14ac:dyDescent="0.25">
      <c r="B8" s="50"/>
      <c r="C8" s="37" t="str">
        <f>Data!B5</f>
        <v>3.</v>
      </c>
      <c r="D8" s="37" t="str">
        <f>Data!C5</f>
        <v>Wat is het moment van bouwvoorbereiding?</v>
      </c>
      <c r="E8" s="37"/>
      <c r="F8" s="67"/>
      <c r="G8" s="50"/>
      <c r="H8" s="37" t="s">
        <v>136</v>
      </c>
      <c r="I8" s="48" t="str">
        <f>IF(OR($I$7=""),"",EDATE(I7,I6))</f>
        <v/>
      </c>
      <c r="J8" s="48"/>
      <c r="K8" s="37"/>
      <c r="L8" s="37"/>
      <c r="M8" s="50"/>
    </row>
    <row r="9" spans="2:17" ht="14.4" x14ac:dyDescent="0.3">
      <c r="B9" s="50"/>
      <c r="C9" s="37"/>
      <c r="D9" s="37"/>
      <c r="E9" s="37"/>
      <c r="F9" s="37"/>
      <c r="G9" s="50"/>
      <c r="H9" s="37"/>
      <c r="I9" s="48"/>
      <c r="J9" s="48"/>
      <c r="K9" s="37"/>
      <c r="L9" s="37"/>
      <c r="M9" s="50"/>
      <c r="Q9"/>
    </row>
    <row r="10" spans="2:17" x14ac:dyDescent="0.25">
      <c r="B10" s="50"/>
      <c r="C10" s="37"/>
      <c r="D10" s="97" t="s">
        <v>183</v>
      </c>
      <c r="E10" s="37"/>
      <c r="F10" s="37"/>
      <c r="G10" s="50"/>
      <c r="H10" s="49" t="s">
        <v>158</v>
      </c>
      <c r="I10" s="69"/>
      <c r="J10" s="48"/>
      <c r="K10" s="37"/>
      <c r="L10" s="37"/>
      <c r="M10" s="50"/>
    </row>
    <row r="11" spans="2:17" x14ac:dyDescent="0.25">
      <c r="B11" s="50"/>
      <c r="C11" s="37"/>
      <c r="D11" s="97" t="s">
        <v>184</v>
      </c>
      <c r="E11" s="37"/>
      <c r="F11" s="37"/>
      <c r="G11" s="50"/>
      <c r="H11" s="60" t="s">
        <v>159</v>
      </c>
      <c r="I11" s="61" t="str">
        <f>IF(OR($I$10=""),"",EDATE(I10,(-I6)))</f>
        <v/>
      </c>
      <c r="J11" s="48"/>
      <c r="K11" s="37"/>
      <c r="L11" s="37"/>
      <c r="M11" s="50"/>
    </row>
    <row r="12" spans="2:17" ht="1.95" customHeight="1" x14ac:dyDescent="0.25">
      <c r="B12" s="50"/>
      <c r="C12" s="50"/>
      <c r="D12" s="50"/>
      <c r="E12" s="50"/>
      <c r="F12" s="50"/>
      <c r="G12" s="50"/>
      <c r="H12" s="62"/>
      <c r="I12" s="50"/>
      <c r="J12" s="50"/>
      <c r="K12" s="50"/>
      <c r="L12" s="50"/>
      <c r="M12" s="50"/>
    </row>
    <row r="13" spans="2:17" ht="32.4" customHeight="1" x14ac:dyDescent="0.25">
      <c r="B13" s="50"/>
      <c r="C13" s="51"/>
      <c r="D13" s="52" t="s">
        <v>173</v>
      </c>
      <c r="E13" s="53"/>
      <c r="F13" s="54" t="s">
        <v>128</v>
      </c>
      <c r="G13" s="55"/>
      <c r="H13" s="56" t="s">
        <v>138</v>
      </c>
      <c r="I13" s="56" t="s">
        <v>139</v>
      </c>
      <c r="J13" s="56" t="s">
        <v>1</v>
      </c>
      <c r="K13" s="53"/>
      <c r="L13" s="56" t="s">
        <v>129</v>
      </c>
      <c r="M13" s="50"/>
    </row>
    <row r="14" spans="2:17" ht="1.95" customHeight="1" x14ac:dyDescent="0.25">
      <c r="B14" s="50"/>
      <c r="C14" s="50"/>
      <c r="D14" s="57"/>
      <c r="E14" s="50"/>
      <c r="F14" s="57"/>
      <c r="G14" s="58"/>
      <c r="H14" s="59"/>
      <c r="I14" s="59"/>
      <c r="J14" s="59"/>
      <c r="K14" s="50"/>
      <c r="L14" s="59"/>
      <c r="M14" s="50"/>
    </row>
    <row r="15" spans="2:17" x14ac:dyDescent="0.25">
      <c r="B15" s="50"/>
      <c r="D15" s="101" t="str">
        <f>Data!C10</f>
        <v>Stap 1 - Beleidsmatig</v>
      </c>
      <c r="E15" s="50"/>
      <c r="F15" s="83"/>
      <c r="G15" s="58"/>
      <c r="I15" s="74"/>
      <c r="J15" s="73"/>
      <c r="K15" s="50"/>
      <c r="L15" s="70"/>
      <c r="M15" s="50"/>
    </row>
    <row r="16" spans="2:17" x14ac:dyDescent="0.25">
      <c r="B16" s="50"/>
      <c r="C16" s="30" t="str">
        <f>IF(OR($F$6="",$F$7="",$F$8=""),"",Data!B11)</f>
        <v/>
      </c>
      <c r="D16" s="102" t="str">
        <f>IF(OR($F$6="",$F$7="",$F$8=""),"Vul eerst alle uitgangspunten in en vervolgens verschijnen hier vragen.",Data!C11)</f>
        <v>Vul eerst alle uitgangspunten in en vervolgens verschijnen hier vragen.</v>
      </c>
      <c r="E16" s="50"/>
      <c r="F16" s="84"/>
      <c r="G16" s="50"/>
      <c r="H16" s="31"/>
      <c r="I16" s="75"/>
      <c r="K16" s="50"/>
      <c r="L16" s="71"/>
      <c r="M16" s="50"/>
    </row>
    <row r="17" spans="2:15" x14ac:dyDescent="0.25">
      <c r="B17" s="50"/>
      <c r="C17" s="30" t="str">
        <f>IF(OR($F$6="",$F$7="",$F$8=""),"",Data!B12)</f>
        <v/>
      </c>
      <c r="D17" s="102" t="str">
        <f>IF(OR($F$6="",$F$7="",$F$8=""),"",Data!C12)</f>
        <v/>
      </c>
      <c r="E17" s="50"/>
      <c r="F17" s="81"/>
      <c r="G17" s="50"/>
      <c r="I17" s="75"/>
      <c r="K17" s="50"/>
      <c r="L17" s="71"/>
      <c r="M17" s="50"/>
    </row>
    <row r="18" spans="2:15" x14ac:dyDescent="0.25">
      <c r="B18" s="50"/>
      <c r="C18" s="32" t="str">
        <f>IF(OR($F$6="",$F$7="",$F$8=""),"",(IF(D18="","",Data!B13)))</f>
        <v/>
      </c>
      <c r="D18" s="103" t="str">
        <f>IF(OR($F$6="",$F$7="",$F$8=""),"",(IF(F17="Ja",Data!C13,"")))</f>
        <v/>
      </c>
      <c r="E18" s="50"/>
      <c r="F18" s="84"/>
      <c r="G18" s="50"/>
      <c r="I18" s="75"/>
      <c r="K18" s="50"/>
      <c r="L18" s="71"/>
      <c r="M18" s="50"/>
      <c r="O18" s="33"/>
    </row>
    <row r="19" spans="2:15" x14ac:dyDescent="0.25">
      <c r="B19" s="50"/>
      <c r="C19" s="30" t="str">
        <f>IF(OR($F$6="",$F$7="",$F$8=""),"",Data!B14)</f>
        <v/>
      </c>
      <c r="D19" s="102" t="str">
        <f>IF(OR($F$6="",$F$7="",$F$8=""),"",Data!C14)</f>
        <v/>
      </c>
      <c r="E19" s="50"/>
      <c r="F19" s="84"/>
      <c r="G19" s="50"/>
      <c r="I19" s="75"/>
      <c r="K19" s="50"/>
      <c r="L19" s="71"/>
      <c r="M19" s="50"/>
    </row>
    <row r="20" spans="2:15" x14ac:dyDescent="0.25">
      <c r="B20" s="50"/>
      <c r="C20" s="30" t="str">
        <f>IF(OR($F$6="",$F$7="",$F$8=""),"",Data!B15)</f>
        <v/>
      </c>
      <c r="D20" s="102" t="str">
        <f>IF(OR($F$6="",$F$7="",$F$8=""),"",Data!C15)</f>
        <v/>
      </c>
      <c r="E20" s="50"/>
      <c r="F20" s="81"/>
      <c r="G20" s="50"/>
      <c r="I20" s="75"/>
      <c r="K20" s="50"/>
      <c r="L20" s="71"/>
      <c r="M20" s="50"/>
    </row>
    <row r="21" spans="2:15" x14ac:dyDescent="0.25">
      <c r="B21" s="50"/>
      <c r="C21" s="30" t="str">
        <f>IF(OR($F$6="",$F$7="",$F$8=""),"",Data!B16)</f>
        <v/>
      </c>
      <c r="D21" s="102" t="str">
        <f>IF(OR($F$6="",$F$7="",$F$8=""),"",Data!C16)</f>
        <v/>
      </c>
      <c r="E21" s="50"/>
      <c r="F21" s="81"/>
      <c r="G21" s="50"/>
      <c r="I21" s="75"/>
      <c r="K21" s="50"/>
      <c r="L21" s="71"/>
      <c r="M21" s="50"/>
    </row>
    <row r="22" spans="2:15" x14ac:dyDescent="0.25">
      <c r="B22" s="50"/>
      <c r="C22" s="30" t="str">
        <f>IF(OR($F$6="",$F$7="",$F$8=""),"",Data!B17)</f>
        <v/>
      </c>
      <c r="D22" s="102" t="str">
        <f>IF(OR($F$6="",$F$7="",$F$8=""),"",Data!C17)</f>
        <v/>
      </c>
      <c r="E22" s="50"/>
      <c r="F22" s="81"/>
      <c r="G22" s="50"/>
      <c r="I22" s="75"/>
      <c r="K22" s="50"/>
      <c r="L22" s="71"/>
      <c r="M22" s="50"/>
    </row>
    <row r="23" spans="2:15" x14ac:dyDescent="0.25">
      <c r="B23" s="50"/>
      <c r="C23" s="30" t="str">
        <f>IF(OR($F$6="",$F$7="",$F$8=""),"",Data!B18)</f>
        <v/>
      </c>
      <c r="D23" s="102" t="str">
        <f>IF(OR($F$6="",$F$7="",$F$8=""),"",Data!C18)</f>
        <v/>
      </c>
      <c r="E23" s="50"/>
      <c r="F23" s="84"/>
      <c r="G23" s="50"/>
      <c r="I23" s="75"/>
      <c r="K23" s="50"/>
      <c r="L23" s="71"/>
      <c r="M23" s="50"/>
    </row>
    <row r="24" spans="2:15" x14ac:dyDescent="0.25">
      <c r="B24" s="50"/>
      <c r="C24" s="30" t="str">
        <f>IF(OR($F$6="",$F$7="",$F$8=""),"",Data!B19)</f>
        <v/>
      </c>
      <c r="D24" s="102" t="str">
        <f>IF(OR($F$6="",$F$7="",$F$8=""),"",Data!C19)</f>
        <v/>
      </c>
      <c r="E24" s="50"/>
      <c r="F24" s="82"/>
      <c r="G24" s="50"/>
      <c r="H24" s="31" t="str">
        <f>IF(OR($F$6="",$F$7="",$F$8=""),"",IF(Data!D19=5,"Zelf in te vullen","Beantwoord eerst alle vragen van stap 1"))</f>
        <v/>
      </c>
      <c r="I24" s="76"/>
      <c r="J24" s="31" t="str">
        <f>IF(OR($F$6="",$F$7="",$F$8=""),"",(IF(OR($F$17="",$F$20="",$F$21="",$F$22=""),"",IF(I24="",IF(H24="Beantwoord eerst alle vragen van stap 1","",""),I24))))</f>
        <v/>
      </c>
      <c r="K24" s="50"/>
      <c r="L24" s="71"/>
      <c r="M24" s="50"/>
      <c r="O24" s="34"/>
    </row>
    <row r="25" spans="2:15" ht="1.2" customHeight="1" x14ac:dyDescent="0.25">
      <c r="B25" s="50"/>
      <c r="C25" s="50"/>
      <c r="D25" s="66"/>
      <c r="E25" s="50"/>
      <c r="F25" s="50"/>
      <c r="G25" s="50"/>
      <c r="H25" s="50"/>
      <c r="I25" s="77"/>
      <c r="J25" s="50"/>
      <c r="K25" s="50"/>
      <c r="L25" s="66"/>
      <c r="M25" s="50"/>
    </row>
    <row r="26" spans="2:15" x14ac:dyDescent="0.25">
      <c r="B26" s="50"/>
      <c r="D26" s="101" t="str">
        <f>Data!C21</f>
        <v>Stap 2 - Kaders</v>
      </c>
      <c r="E26" s="50"/>
      <c r="F26" s="84"/>
      <c r="G26" s="50"/>
      <c r="H26" s="30" t="str">
        <f>IF(OR($F$6="",$F$7="",$F$8=""),"",IF(Data!D42=14,IF($F$6="Gebiedsontwikkeling",Data!O40,(IF($F$6="Locatieontwikkeling",Data!O61,""))),""))</f>
        <v/>
      </c>
      <c r="I26" s="78"/>
      <c r="K26" s="50"/>
      <c r="L26" s="71"/>
      <c r="M26" s="50"/>
    </row>
    <row r="27" spans="2:15" x14ac:dyDescent="0.25">
      <c r="B27" s="50"/>
      <c r="C27" s="30" t="str">
        <f>IF(OR($F$6="",$F$7="",$F$8=""),"",(IF($F$6="Gebiedsontwikkeling",Data!B22,IF($F$6="Locatieontwikkeling",Data!B44,""))))</f>
        <v/>
      </c>
      <c r="D27" s="104" t="str">
        <f>IF(OR($F$6="",$F$7="",$F$8=""),"Vul eerst alle uitgangspunten in en vervolgens verschijnen hier vragen.",(IF($F$6="Gebiedsontwikkeling",Data!C22,IF($F$6="Locatieontwikkeling",Data!C44,""))))</f>
        <v>Vul eerst alle uitgangspunten in en vervolgens verschijnen hier vragen.</v>
      </c>
      <c r="E27" s="50"/>
      <c r="F27" s="84"/>
      <c r="G27" s="50"/>
      <c r="H27" s="79"/>
      <c r="I27" s="80"/>
      <c r="K27" s="50"/>
      <c r="L27" s="71"/>
      <c r="M27" s="50"/>
    </row>
    <row r="28" spans="2:15" x14ac:dyDescent="0.25">
      <c r="B28" s="50"/>
      <c r="C28" s="30" t="str">
        <f>IF(OR($F$6="",$F$7="",$F$8=""),"",(IF($F$6="Gebiedsontwikkeling",Data!B23,IF($F$6="Locatieontwikkeling",Data!B45,""))))</f>
        <v/>
      </c>
      <c r="D28" s="102" t="str">
        <f>IF(OR($F$6="",$F$7="",$F$8=""),"",(IF($F$6="Gebiedsontwikkeling",Data!C23,IF($F$6="Locatieontwikkeling",Data!C45,""))))</f>
        <v/>
      </c>
      <c r="E28" s="50"/>
      <c r="F28" s="81"/>
      <c r="G28" s="50"/>
      <c r="I28" s="80"/>
      <c r="K28" s="50"/>
      <c r="L28" s="71"/>
      <c r="M28" s="50"/>
    </row>
    <row r="29" spans="2:15" x14ac:dyDescent="0.25">
      <c r="B29" s="50"/>
      <c r="C29" s="30" t="str">
        <f>IF(OR($F$6="",$F$7="",$F$8=""),"",(IF(D29="","",Data!B24)))</f>
        <v/>
      </c>
      <c r="D29" s="105" t="str">
        <f>IF(OR($F$6="",$F$7="",$F$8=""),"",(IF($F$6="Gebiedsontwikkeling",(IF(F28="Ja",Data!C24,"")),IF($F$6="Locatieontwikkeling",(IF(F28="Ja",Data!C46,""))))))</f>
        <v/>
      </c>
      <c r="E29" s="50"/>
      <c r="F29" s="84"/>
      <c r="G29" s="50"/>
      <c r="I29" s="80"/>
      <c r="K29" s="50"/>
      <c r="L29" s="71"/>
      <c r="M29" s="50"/>
      <c r="O29" s="34"/>
    </row>
    <row r="30" spans="2:15" x14ac:dyDescent="0.25">
      <c r="B30" s="50"/>
      <c r="C30" s="30" t="str">
        <f>IF(OR($F$6="",$F$7="",$F$8=""),"",(IF($F$6="Gebiedsontwikkeling",Data!B25,IF($F$6="Locatieontwikkeling",Data!B47,""))))</f>
        <v/>
      </c>
      <c r="D30" s="102" t="str">
        <f>IF(OR($F$6="",$F$7="",$F$8=""),"",(IF($F$6="Gebiedsontwikkeling",Data!C25,IF($F$6="Locatieontwikkeling",Data!C47,""))))</f>
        <v/>
      </c>
      <c r="E30" s="50"/>
      <c r="F30" s="81"/>
      <c r="G30" s="50"/>
      <c r="I30" s="80"/>
      <c r="K30" s="50"/>
      <c r="L30" s="71"/>
      <c r="M30" s="50"/>
    </row>
    <row r="31" spans="2:15" x14ac:dyDescent="0.25">
      <c r="B31" s="50"/>
      <c r="C31" s="30" t="str">
        <f>IF(OR($F$6="",$F$7="",$F$8=""),"",(IF($F$6="Gebiedsontwikkeling",Data!B26,IF($F$6="Locatieontwikkeling",Data!B48,""))))</f>
        <v/>
      </c>
      <c r="D31" s="102" t="str">
        <f>IF(OR($F$6="",$F$7="",$F$8=""),"",(IF($F$6="Gebiedsontwikkeling",Data!C26,IF($F$6="Locatieontwikkeling",Data!C48,""))))</f>
        <v/>
      </c>
      <c r="E31" s="50"/>
      <c r="F31" s="81"/>
      <c r="G31" s="50"/>
      <c r="I31" s="80"/>
      <c r="K31" s="50"/>
      <c r="L31" s="71"/>
      <c r="M31" s="50"/>
    </row>
    <row r="32" spans="2:15" x14ac:dyDescent="0.25">
      <c r="B32" s="50"/>
      <c r="C32" s="30" t="str">
        <f>IF(OR($F$6="",$F$7="",$F$8=""),"",(IF($F$6="Gebiedsontwikkeling",Data!B27,IF($F$6="Locatieontwikkeling",Data!B49,""))))</f>
        <v/>
      </c>
      <c r="D32" s="102" t="str">
        <f>IF(OR($F$6="",$F$7="",$F$8=""),"",(IF($F$6="Gebiedsontwikkeling",Data!C27,IF($F$6="Locatieontwikkeling",Data!C49,""))))</f>
        <v/>
      </c>
      <c r="E32" s="50"/>
      <c r="F32" s="81"/>
      <c r="G32" s="50"/>
      <c r="I32" s="80"/>
      <c r="K32" s="50"/>
      <c r="L32" s="71"/>
      <c r="M32" s="50"/>
    </row>
    <row r="33" spans="2:13" x14ac:dyDescent="0.25">
      <c r="B33" s="50"/>
      <c r="C33" s="30" t="str">
        <f>IF(OR($F$6="",$F$7="",$F$8=""),"",(IF($F$6="Gebiedsontwikkeling",Data!B28,IF($F$6="Locatieontwikkeling",Data!B50,""))))</f>
        <v/>
      </c>
      <c r="D33" s="102" t="str">
        <f>IF(OR($F$6="",$F$7="",$F$8=""),"",(IF($F$6="Gebiedsontwikkeling",Data!C28,IF($F$6="Locatieontwikkeling",Data!C50,""))))</f>
        <v/>
      </c>
      <c r="E33" s="50"/>
      <c r="F33" s="81"/>
      <c r="G33" s="50"/>
      <c r="I33" s="80"/>
      <c r="K33" s="50"/>
      <c r="L33" s="71"/>
      <c r="M33" s="50"/>
    </row>
    <row r="34" spans="2:13" x14ac:dyDescent="0.25">
      <c r="B34" s="50"/>
      <c r="C34" s="30" t="str">
        <f>IF(OR($F$6="",$F$7="",$F$8=""),"",(IF($F$6="Gebiedsontwikkeling",Data!B29,IF($F$6="Locatieontwikkeling",Data!B51,""))))</f>
        <v/>
      </c>
      <c r="D34" s="102" t="str">
        <f>IF(OR($F$6="",$F$7="",$F$8=""),"",(IF($F$6="Gebiedsontwikkeling",Data!C29,IF($F$6="Locatieontwikkeling",Data!C51,""))))</f>
        <v/>
      </c>
      <c r="E34" s="50"/>
      <c r="F34" s="84"/>
      <c r="G34" s="50"/>
      <c r="I34" s="80"/>
      <c r="K34" s="50"/>
      <c r="L34" s="71"/>
      <c r="M34" s="50"/>
    </row>
    <row r="35" spans="2:13" x14ac:dyDescent="0.25">
      <c r="B35" s="50"/>
      <c r="C35" s="30" t="str">
        <f>IF(OR($F$6="",$F$7="",$F$8=""),"",(IF($F$6="Gebiedsontwikkeling",Data!B30,IF($F$6="Locatieontwikkeling",Data!B52,""))))</f>
        <v/>
      </c>
      <c r="D35" s="102" t="str">
        <f>IF(OR($F$6="",$F$7="",$F$8=""),"",(IF($F$6="Gebiedsontwikkeling",Data!C30,IF($F$6="Locatieontwikkeling",Data!C52,""))))</f>
        <v/>
      </c>
      <c r="E35" s="50"/>
      <c r="F35" s="81"/>
      <c r="G35" s="50"/>
      <c r="I35" s="80"/>
      <c r="K35" s="50"/>
      <c r="L35" s="71"/>
      <c r="M35" s="50"/>
    </row>
    <row r="36" spans="2:13" x14ac:dyDescent="0.25">
      <c r="B36" s="50"/>
      <c r="C36" s="30" t="str">
        <f>IF(OR($F$6="",$F$7="",$F$8=""),"",(IF($F$6="Gebiedsontwikkeling",Data!B31,IF($F$6="Locatieontwikkeling",Data!B53,""))))</f>
        <v/>
      </c>
      <c r="D36" s="102" t="str">
        <f>IF(OR($F$6="",$F$7="",$F$8=""),"",(IF($F$6="Gebiedsontwikkeling",Data!C31,IF($F$6="Locatieontwikkeling",Data!C53,""))))</f>
        <v/>
      </c>
      <c r="E36" s="50"/>
      <c r="F36" s="84"/>
      <c r="G36" s="50"/>
      <c r="I36" s="80"/>
      <c r="K36" s="50"/>
      <c r="L36" s="71"/>
      <c r="M36" s="50"/>
    </row>
    <row r="37" spans="2:13" x14ac:dyDescent="0.25">
      <c r="B37" s="50"/>
      <c r="C37" s="30" t="str">
        <f>IF(OR($F$6="",$F$7="",$F$8=""),"",(IF($F$6="Gebiedsontwikkeling",Data!B32,IF($F$6="Locatieontwikkeling",Data!B54,""))))</f>
        <v/>
      </c>
      <c r="D37" s="102" t="str">
        <f>IF(OR($F$6="",$F$7="",$F$8=""),"",(IF($F$6="Gebiedsontwikkeling",Data!C32,IF($F$6="Locatieontwikkeling",Data!C54,""))))</f>
        <v/>
      </c>
      <c r="E37" s="50"/>
      <c r="F37" s="84"/>
      <c r="G37" s="50"/>
      <c r="I37" s="80"/>
      <c r="K37" s="50"/>
      <c r="L37" s="71"/>
      <c r="M37" s="50"/>
    </row>
    <row r="38" spans="2:13" x14ac:dyDescent="0.25">
      <c r="B38" s="50"/>
      <c r="C38" s="30" t="str">
        <f>IF(OR($F$6="",$F$7="",$F$8=""),"",(IF($F$6="Gebiedsontwikkeling",Data!B33,IF($F$6="Locatieontwikkeling",Data!B55,""))))</f>
        <v/>
      </c>
      <c r="D38" s="102" t="str">
        <f>IF(OR($F$6="",$F$7="",$F$8=""),"",(IF($F$6="Gebiedsontwikkeling",Data!C33,IF($F$6="Locatieontwikkeling",Data!C55,""))))</f>
        <v/>
      </c>
      <c r="E38" s="50"/>
      <c r="F38" s="84"/>
      <c r="G38" s="50"/>
      <c r="I38" s="80"/>
      <c r="K38" s="50"/>
      <c r="L38" s="71"/>
      <c r="M38" s="50"/>
    </row>
    <row r="39" spans="2:13" x14ac:dyDescent="0.25">
      <c r="B39" s="50"/>
      <c r="C39" s="30" t="str">
        <f>IF(OR($F$6="",$F$7="",$F$8=""),"",(IF($F$6="Gebiedsontwikkeling",Data!B34,IF($F$6="Locatieontwikkeling",(IF(D39="","",Data!B56))))))</f>
        <v/>
      </c>
      <c r="D39" s="102" t="str">
        <f>IF(OR($F$6="",$F$7="",$F$8=""),"",(IF($F$6="Gebiedsontwikkeling",Data!C34,IF($F$6="Locatieontwikkeling",(IF(F38="Ja",Data!C56,""))))))</f>
        <v/>
      </c>
      <c r="E39" s="50"/>
      <c r="F39" s="84"/>
      <c r="G39" s="50"/>
      <c r="I39" s="80"/>
      <c r="K39" s="50"/>
      <c r="L39" s="71"/>
      <c r="M39" s="50"/>
    </row>
    <row r="40" spans="2:13" x14ac:dyDescent="0.25">
      <c r="B40" s="50"/>
      <c r="C40" s="30" t="str">
        <f>IF(OR($F$6="",$F$7="",$F$8=""),"",(IF($F$6="Gebiedsontwikkeling",(IF(D40="","",Data!B35)),IF($F$6="Locatieontwikkeling",Data!B57,""))))</f>
        <v/>
      </c>
      <c r="D40" s="102" t="str">
        <f>IF(OR($F$6="",$F$7="",$F$8=""),"",(IF($F$6="Gebiedsontwikkeling",IF(F39="Ja",Data!C35,""),(IF($F$6="Locatieontwikkeling",Data!C57,"")))))</f>
        <v/>
      </c>
      <c r="E40" s="50"/>
      <c r="F40" s="84"/>
      <c r="G40" s="50"/>
      <c r="I40" s="80"/>
      <c r="K40" s="50"/>
      <c r="L40" s="71"/>
      <c r="M40" s="50"/>
    </row>
    <row r="41" spans="2:13" x14ac:dyDescent="0.25">
      <c r="B41" s="50"/>
      <c r="C41" s="30" t="str">
        <f>IF(OR($F$6="",$F$7="",$F$8=""),"",(IF($F$6="Gebiedsontwikkeling",Data!B36,IF($F$6="Locatieontwikkeling",Data!B58,""))))</f>
        <v/>
      </c>
      <c r="D41" s="102" t="str">
        <f>IF(OR($F$6="",$F$7="",$F$8=""),"",(IF($F$6="Gebiedsontwikkeling",Data!C36,IF($F$6="Locatieontwikkeling",Data!C58,""))))</f>
        <v/>
      </c>
      <c r="E41" s="50"/>
      <c r="F41" s="84"/>
      <c r="G41" s="50"/>
      <c r="I41" s="80"/>
      <c r="K41" s="50"/>
      <c r="L41" s="71"/>
      <c r="M41" s="50"/>
    </row>
    <row r="42" spans="2:13" x14ac:dyDescent="0.25">
      <c r="B42" s="50"/>
      <c r="C42" s="30" t="str">
        <f>IF(OR($F$6="",$F$7="",$F$8=""),"",(IF($F$6="Gebiedsontwikkeling",Data!B37,IF($F$6="Locatieontwikkeling",Data!B59,""))))</f>
        <v/>
      </c>
      <c r="D42" s="102" t="str">
        <f>IF(OR($F$6="",$F$7="",$F$8=""),"",(IF($F$6="Gebiedsontwikkeling",Data!C32,IF($F$6="Locatieontwikkeling",Data!C59,""))))</f>
        <v/>
      </c>
      <c r="E42" s="50"/>
      <c r="F42" s="84"/>
      <c r="G42" s="50"/>
      <c r="I42" s="80"/>
      <c r="K42" s="50"/>
      <c r="L42" s="71"/>
      <c r="M42" s="50"/>
    </row>
    <row r="43" spans="2:13" x14ac:dyDescent="0.25">
      <c r="B43" s="50"/>
      <c r="C43" s="30" t="str">
        <f>IF(OR($F$6="",$F$7="",$F$8=""),"",(IF($F$6="Gebiedsontwikkeling",Data!B38,IF($F$6="Locatieontwikkeling",Data!B60,""))))</f>
        <v/>
      </c>
      <c r="D43" s="102" t="str">
        <f>IF(OR($F$6="",$F$7="",$F$8=""),"",(IF($F$6="Gebiedsontwikkeling",Data!C38,IF($F$6="Locatieontwikkeling",Data!C60,""))))</f>
        <v/>
      </c>
      <c r="E43" s="50"/>
      <c r="F43" s="84"/>
      <c r="G43" s="50"/>
      <c r="H43" s="31"/>
      <c r="I43" s="80"/>
      <c r="K43" s="50"/>
      <c r="L43" s="71"/>
      <c r="M43" s="50"/>
    </row>
    <row r="44" spans="2:13" x14ac:dyDescent="0.25">
      <c r="B44" s="50"/>
      <c r="C44" s="30" t="str">
        <f>IF(OR($F$6="",$F$7="",$F$8=""),"",(IF($F$6="Gebiedsontwikkeling",Data!B39,IF($F$6="Locatieontwikkeling",Data!B61,""))))</f>
        <v/>
      </c>
      <c r="D44" s="102" t="str">
        <f>IF(OR($F$6="",$F$7="",$F$8=""),"",(IF($F$6="Gebiedsontwikkeling",Data!C39,IF($F$6="Locatieontwikkeling",Data!C61,""))))</f>
        <v/>
      </c>
      <c r="E44" s="50"/>
      <c r="F44" s="84"/>
      <c r="G44" s="50"/>
      <c r="I44" s="80"/>
      <c r="K44" s="50"/>
      <c r="L44" s="71"/>
      <c r="M44" s="50"/>
    </row>
    <row r="45" spans="2:13" x14ac:dyDescent="0.25">
      <c r="B45" s="50"/>
      <c r="C45" s="30" t="str">
        <f>IF(OR($F$6="",$F$7="",$F$8=""),"",(IF($F$6="Gebiedsontwikkeling",Data!B40,IF($F$6="Locatieontwikkeling",Data!B62,""))))</f>
        <v/>
      </c>
      <c r="D45" s="102" t="str">
        <f>IF(OR($F$6="",$F$7="",$F$8=""),"",(IF($F$6="Gebiedsontwikkeling",Data!C40,IF($F$6="Locatieontwikkeling",Data!C62,""))))</f>
        <v/>
      </c>
      <c r="E45" s="50"/>
      <c r="F45" s="85"/>
      <c r="G45" s="50"/>
      <c r="I45" s="80"/>
      <c r="K45" s="50"/>
      <c r="L45" s="71"/>
      <c r="M45" s="50"/>
    </row>
    <row r="46" spans="2:13" x14ac:dyDescent="0.25">
      <c r="B46" s="50"/>
      <c r="C46" s="30" t="str">
        <f>IF(OR($F$6="",$F$7="",$F$8=""),"",(IF($F$6="Gebiedsontwikkeling",Data!B41,IF($F$6="Locatieontwikkeling",Data!B63,""))))</f>
        <v/>
      </c>
      <c r="D46" s="102" t="str">
        <f>IF(OR($F$6="",$F$7="",$F$8=""),"",(IF($F$6="Gebiedsontwikkeling",Data!C41,IF($F$6="Locatieontwikkeling",Data!C63,""))))</f>
        <v/>
      </c>
      <c r="E46" s="50"/>
      <c r="F46" s="85"/>
      <c r="G46" s="50"/>
      <c r="H46" s="31" t="str">
        <f>IF(OR($F$6="",$F$7="",$F$8=""),"",IF(Data!D42=14,ROUND(IF($F$6="Gebiedsontwikkeling",(((Data!M40*Data!I40)+Data!K40)-((Data!M40*Data!I40)+Data!K40)*F46),(IF($F$6="Locatieontwikkeling",(((Data!M61*Data!I61)+Data!K61)-((Data!M61*Data!I61)+Data!K61)*F45),""))),0),"Beantwoord eerst alle vragen van stap 2"))</f>
        <v/>
      </c>
      <c r="I46" s="76"/>
      <c r="J46" s="31" t="str">
        <f>IF(OR($F$6="",$F$7="",$F$8=""),"",(IF(Data!D42=14,IF(I46="",IF(H46="Beantwoord eerst alle vragen van stap 2","",H46),I46),"")))</f>
        <v/>
      </c>
      <c r="K46" s="50"/>
      <c r="L46" s="71"/>
      <c r="M46" s="50"/>
    </row>
    <row r="47" spans="2:13" ht="1.2" customHeight="1" x14ac:dyDescent="0.25">
      <c r="B47" s="50"/>
      <c r="C47" s="50"/>
      <c r="D47" s="66"/>
      <c r="E47" s="50"/>
      <c r="F47" s="50"/>
      <c r="G47" s="50"/>
      <c r="H47" s="50"/>
      <c r="I47" s="77"/>
      <c r="J47" s="50"/>
      <c r="K47" s="50"/>
      <c r="L47" s="66"/>
      <c r="M47" s="50"/>
    </row>
    <row r="48" spans="2:13" x14ac:dyDescent="0.25">
      <c r="B48" s="50"/>
      <c r="D48" s="101" t="str">
        <f>Data!C65</f>
        <v>Stap 3 - Rekenen en tekenen</v>
      </c>
      <c r="E48" s="50"/>
      <c r="F48" s="84"/>
      <c r="G48" s="50"/>
      <c r="H48" s="30" t="str">
        <f>IF(OR($F$6="",$F$7="",$F$8=""),"",IF(Data!D80=9,IF($F$6="Gebiedsontwikkeling",Data!O78,(IF($F$6="Locatieontwikkeling",Data!O79,""))),""))</f>
        <v/>
      </c>
      <c r="I48" s="80"/>
      <c r="K48" s="50"/>
      <c r="L48" s="71"/>
      <c r="M48" s="50"/>
    </row>
    <row r="49" spans="2:15" x14ac:dyDescent="0.25">
      <c r="B49" s="50"/>
      <c r="C49" s="30" t="str">
        <f>IF(OR($F$6="",$F$7="",$F$8=""),"",Data!B66)</f>
        <v/>
      </c>
      <c r="D49" s="102" t="str">
        <f>IF(OR($F$6="",$F$7="",$F$8=""),"Vul eerst alle uitgangspunten in en vervolgens verschijnen hier vragen.",Data!C66)</f>
        <v>Vul eerst alle uitgangspunten in en vervolgens verschijnen hier vragen.</v>
      </c>
      <c r="E49" s="50"/>
      <c r="F49" s="84"/>
      <c r="G49" s="50"/>
      <c r="I49" s="80"/>
      <c r="K49" s="50"/>
      <c r="L49" s="71"/>
      <c r="M49" s="50"/>
    </row>
    <row r="50" spans="2:15" x14ac:dyDescent="0.25">
      <c r="B50" s="50"/>
      <c r="C50" s="30" t="str">
        <f>IF(OR($F$6="",$F$7="",$F$8=""),"",Data!B67)</f>
        <v/>
      </c>
      <c r="D50" s="102" t="str">
        <f>IF(OR($F$6="",$F$7="",$F$8=""),"",Data!C67)</f>
        <v/>
      </c>
      <c r="E50" s="50"/>
      <c r="F50" s="81"/>
      <c r="G50" s="50"/>
      <c r="I50" s="80"/>
      <c r="K50" s="50"/>
      <c r="L50" s="71"/>
      <c r="M50" s="50"/>
    </row>
    <row r="51" spans="2:15" x14ac:dyDescent="0.25">
      <c r="B51" s="50"/>
      <c r="C51" s="30" t="str">
        <f>IF(OR($F$6="",$F$7="",$F$8=""),"",Data!B68)</f>
        <v/>
      </c>
      <c r="D51" s="102" t="str">
        <f>IF(OR($F$6="",$F$7="",$F$8=""),"",Data!C68)</f>
        <v/>
      </c>
      <c r="E51" s="50"/>
      <c r="F51" s="81"/>
      <c r="G51" s="50"/>
      <c r="I51" s="80"/>
      <c r="K51" s="50"/>
      <c r="L51" s="71"/>
      <c r="M51" s="50"/>
    </row>
    <row r="52" spans="2:15" x14ac:dyDescent="0.25">
      <c r="B52" s="50"/>
      <c r="C52" s="30" t="str">
        <f>IF(OR($F$6="",$F$7="",$F$8=""),"",Data!B69)</f>
        <v/>
      </c>
      <c r="D52" s="102" t="str">
        <f>IF(OR($F$6="",$F$7="",$F$8=""),"",Data!C69)</f>
        <v/>
      </c>
      <c r="E52" s="50"/>
      <c r="F52" s="84"/>
      <c r="G52" s="50"/>
      <c r="I52" s="80"/>
      <c r="K52" s="50"/>
      <c r="L52" s="71"/>
      <c r="M52" s="50"/>
    </row>
    <row r="53" spans="2:15" x14ac:dyDescent="0.25">
      <c r="B53" s="50"/>
      <c r="C53" s="30" t="str">
        <f>IF(OR($F$6="",$F$7="",$F$8=""),"",Data!B70)</f>
        <v/>
      </c>
      <c r="D53" s="102" t="str">
        <f>IF(OR($F$6="",$F$7="",$F$8=""),"",Data!C70)</f>
        <v/>
      </c>
      <c r="E53" s="50"/>
      <c r="F53" s="81"/>
      <c r="G53" s="50"/>
      <c r="I53" s="80"/>
      <c r="K53" s="50"/>
      <c r="L53" s="71"/>
      <c r="M53" s="50"/>
    </row>
    <row r="54" spans="2:15" x14ac:dyDescent="0.25">
      <c r="B54" s="50"/>
      <c r="C54" s="30" t="str">
        <f>IF(OR($F$6="",$F$7="",$F$8=""),"",(IF(D54="","",Data!B71)))</f>
        <v/>
      </c>
      <c r="D54" s="103" t="str">
        <f>IF(OR($F$6="",$F$7="",$F$8=""),"",(IF(F53="Ja",Data!C71,"")))</f>
        <v/>
      </c>
      <c r="E54" s="50"/>
      <c r="F54" s="84"/>
      <c r="G54" s="50"/>
      <c r="I54" s="80"/>
      <c r="K54" s="50"/>
      <c r="L54" s="71"/>
      <c r="M54" s="50"/>
      <c r="O54" s="34"/>
    </row>
    <row r="55" spans="2:15" x14ac:dyDescent="0.25">
      <c r="B55" s="50"/>
      <c r="C55" s="30" t="str">
        <f>IF(OR($F$6="",$F$7="",$F$8=""),"",Data!B72)</f>
        <v/>
      </c>
      <c r="D55" s="102" t="str">
        <f>IF(OR($F$6="",$F$7="",$F$8=""),"",Data!C72)</f>
        <v/>
      </c>
      <c r="E55" s="50"/>
      <c r="F55" s="84"/>
      <c r="G55" s="50"/>
      <c r="I55" s="80"/>
      <c r="K55" s="50"/>
      <c r="L55" s="71"/>
      <c r="M55" s="50"/>
    </row>
    <row r="56" spans="2:15" x14ac:dyDescent="0.25">
      <c r="B56" s="50"/>
      <c r="C56" s="30" t="str">
        <f>IF(OR($F$6="",$F$7="",$F$8=""),"",Data!B73)</f>
        <v/>
      </c>
      <c r="D56" s="102" t="str">
        <f>IF(OR($F$6="",$F$7="",$F$8=""),"",Data!C73)</f>
        <v/>
      </c>
      <c r="E56" s="50"/>
      <c r="F56" s="81"/>
      <c r="G56" s="50"/>
      <c r="I56" s="80"/>
      <c r="K56" s="50"/>
      <c r="L56" s="71"/>
      <c r="M56" s="50"/>
    </row>
    <row r="57" spans="2:15" x14ac:dyDescent="0.25">
      <c r="B57" s="50"/>
      <c r="C57" s="30" t="str">
        <f>IF(OR($F$6="",$F$7="",$F$8=""),"",(IF(D57="","",Data!B74)))</f>
        <v/>
      </c>
      <c r="D57" s="103" t="str">
        <f>IF(OR($F$6="",$F$7="",$F$8=""),"",(IF(F56="Ja",Data!C74,"")))</f>
        <v/>
      </c>
      <c r="E57" s="50"/>
      <c r="F57" s="84"/>
      <c r="G57" s="50"/>
      <c r="I57" s="80"/>
      <c r="K57" s="50"/>
      <c r="L57" s="71"/>
      <c r="M57" s="50"/>
      <c r="O57" s="34"/>
    </row>
    <row r="58" spans="2:15" x14ac:dyDescent="0.25">
      <c r="B58" s="50"/>
      <c r="C58" s="30" t="str">
        <f>IF(OR($F$6="",$F$7="",$F$8=""),"",Data!B75)</f>
        <v/>
      </c>
      <c r="D58" s="102" t="str">
        <f>IF(OR($F$6="",$F$7="",$F$8=""),"",Data!C75)</f>
        <v/>
      </c>
      <c r="E58" s="50"/>
      <c r="F58" s="84"/>
      <c r="G58" s="50"/>
      <c r="I58" s="80"/>
      <c r="K58" s="50"/>
      <c r="L58" s="71"/>
      <c r="M58" s="50"/>
    </row>
    <row r="59" spans="2:15" x14ac:dyDescent="0.25">
      <c r="B59" s="50"/>
      <c r="C59" s="30" t="str">
        <f>IF(OR($F$6="",$F$7="",$F$8=""),"",Data!B76)</f>
        <v/>
      </c>
      <c r="D59" s="102" t="str">
        <f>IF(OR($F$6="",$F$7="",$F$8=""),"",Data!C76)</f>
        <v/>
      </c>
      <c r="E59" s="50"/>
      <c r="F59" s="81"/>
      <c r="G59" s="50"/>
      <c r="I59" s="80"/>
      <c r="K59" s="50"/>
      <c r="L59" s="71"/>
      <c r="M59" s="50"/>
    </row>
    <row r="60" spans="2:15" x14ac:dyDescent="0.25">
      <c r="B60" s="50"/>
      <c r="C60" s="30" t="str">
        <f>IF(OR($F$6="",$F$7="",$F$8=""),"",Data!B77)</f>
        <v/>
      </c>
      <c r="D60" s="102" t="str">
        <f>IF(OR($F$6="",$F$7="",$F$8=""),"",Data!C77)</f>
        <v/>
      </c>
      <c r="E60" s="50"/>
      <c r="F60" s="81"/>
      <c r="G60" s="50"/>
      <c r="I60" s="80"/>
      <c r="K60" s="50"/>
      <c r="L60" s="71"/>
      <c r="M60" s="50"/>
    </row>
    <row r="61" spans="2:15" x14ac:dyDescent="0.25">
      <c r="B61" s="50"/>
      <c r="C61" s="30" t="str">
        <f>IF(OR($F$6="",$F$7="",$F$8=""),"",Data!B78)</f>
        <v/>
      </c>
      <c r="D61" s="102" t="str">
        <f>IF(OR($F$6="",$F$7="",$F$8=""),"",Data!C78)</f>
        <v/>
      </c>
      <c r="E61" s="50"/>
      <c r="F61" s="81"/>
      <c r="G61" s="50"/>
      <c r="I61" s="80"/>
      <c r="K61" s="50"/>
      <c r="L61" s="71"/>
      <c r="M61" s="50"/>
    </row>
    <row r="62" spans="2:15" x14ac:dyDescent="0.25">
      <c r="B62" s="50"/>
      <c r="C62" s="30" t="str">
        <f>IF(OR($F$6="",$F$7="",$F$8=""),"",Data!B79)</f>
        <v/>
      </c>
      <c r="D62" s="102" t="str">
        <f>IF(OR($F$6="",$F$7="",$F$8=""),"",Data!C79)</f>
        <v/>
      </c>
      <c r="E62" s="50"/>
      <c r="F62" s="84"/>
      <c r="G62" s="50"/>
      <c r="H62" s="31"/>
      <c r="I62" s="80"/>
      <c r="K62" s="50"/>
      <c r="L62" s="71"/>
      <c r="M62" s="50"/>
    </row>
    <row r="63" spans="2:15" x14ac:dyDescent="0.25">
      <c r="B63" s="50"/>
      <c r="C63" s="30" t="str">
        <f>IF(OR($F$6="",$F$7="",$F$8=""),"",Data!B80)</f>
        <v/>
      </c>
      <c r="D63" s="102" t="str">
        <f>IF(OR($F$6="",$F$7="",$F$8=""),"",Data!C80)</f>
        <v/>
      </c>
      <c r="E63" s="50"/>
      <c r="F63" s="82"/>
      <c r="G63" s="50"/>
      <c r="H63" s="31" t="str">
        <f>IF(OR($F$6="",$F$7="",$F$8=""),"",IF(Data!D80=9,ROUND(IF($F$6="Gebiedsontwikkeling",(((Data!M78*Data!I79)+Data!K78)-((Data!M78*Data!I79)+Data!K78)*F63),(IF($F$6="Locatieontwikkeling",(((Data!M79*Data!I79)+Data!K79)-((Data!M79*Data!I79)+Data!K79)*F63),""))),0),"Beantwoord eerst alle vragen van stap 3"))</f>
        <v/>
      </c>
      <c r="I63" s="76"/>
      <c r="J63" s="31" t="str">
        <f>IF(OR($F$6="",$F$7="",$F$8=""),"",(IF(Data!D80=9,IF(I63="",IF(H63="Beantwoord eerst alle vragen van stap 3","",H63),I63),"")))</f>
        <v/>
      </c>
      <c r="K63" s="50"/>
      <c r="L63" s="71"/>
      <c r="M63" s="50"/>
    </row>
    <row r="64" spans="2:15" ht="1.2" customHeight="1" x14ac:dyDescent="0.25">
      <c r="B64" s="50"/>
      <c r="C64" s="50"/>
      <c r="D64" s="66"/>
      <c r="E64" s="50"/>
      <c r="F64" s="50"/>
      <c r="G64" s="50"/>
      <c r="H64" s="50"/>
      <c r="I64" s="77"/>
      <c r="J64" s="50"/>
      <c r="K64" s="50"/>
      <c r="L64" s="66"/>
      <c r="M64" s="50"/>
    </row>
    <row r="65" spans="2:15" x14ac:dyDescent="0.25">
      <c r="B65" s="50"/>
      <c r="D65" s="101" t="str">
        <f>Data!C82</f>
        <v>Stap 4 - Businesscase</v>
      </c>
      <c r="E65" s="50"/>
      <c r="F65" s="84"/>
      <c r="G65" s="50"/>
      <c r="H65" s="30" t="str">
        <f>IF(OR($F$6="",$F$7="",$F$8=""),"",IF(Data!D92=6,Data!O91,""))</f>
        <v/>
      </c>
      <c r="I65" s="80"/>
      <c r="K65" s="50"/>
      <c r="L65" s="71"/>
      <c r="M65" s="50"/>
    </row>
    <row r="66" spans="2:15" x14ac:dyDescent="0.25">
      <c r="B66" s="50"/>
      <c r="C66" s="30" t="str">
        <f>IF(OR($F$6="",$F$7="",$F$8=""),"",Data!B83)</f>
        <v/>
      </c>
      <c r="D66" s="102" t="str">
        <f>IF(OR($F$6="",$F$7="",$F$8=""),"Vul eerst alle uitgangspunten in en vervolgens verschijnen hier vragen.",Data!C83)</f>
        <v>Vul eerst alle uitgangspunten in en vervolgens verschijnen hier vragen.</v>
      </c>
      <c r="E66" s="50"/>
      <c r="F66" s="84"/>
      <c r="G66" s="50"/>
      <c r="I66" s="80"/>
      <c r="K66" s="50"/>
      <c r="L66" s="71"/>
      <c r="M66" s="50"/>
    </row>
    <row r="67" spans="2:15" x14ac:dyDescent="0.25">
      <c r="B67" s="50"/>
      <c r="C67" s="30" t="str">
        <f>IF(OR($F$6="",$F$7="",$F$8=""),"",Data!B84)</f>
        <v/>
      </c>
      <c r="D67" s="102" t="str">
        <f>IF(OR($F$6="",$F$7="",$F$8=""),"",Data!C84)</f>
        <v/>
      </c>
      <c r="E67" s="50"/>
      <c r="F67" s="81"/>
      <c r="G67" s="50"/>
      <c r="I67" s="80"/>
      <c r="K67" s="50"/>
      <c r="L67" s="71"/>
      <c r="M67" s="50"/>
    </row>
    <row r="68" spans="2:15" x14ac:dyDescent="0.25">
      <c r="B68" s="50"/>
      <c r="C68" s="30" t="str">
        <f>IF(OR($F$6="",$F$7="",$F$8=""),"",Data!B85)</f>
        <v/>
      </c>
      <c r="D68" s="102" t="str">
        <f>IF(OR($F$6="",$F$7="",$F$8=""),"",Data!C85)</f>
        <v/>
      </c>
      <c r="E68" s="50"/>
      <c r="F68" s="84"/>
      <c r="G68" s="50"/>
      <c r="I68" s="80"/>
      <c r="K68" s="50"/>
      <c r="L68" s="71"/>
      <c r="M68" s="50"/>
    </row>
    <row r="69" spans="2:15" x14ac:dyDescent="0.25">
      <c r="B69" s="50"/>
      <c r="C69" s="30" t="str">
        <f>IF(OR($F$6="",$F$7="",$F$8=""),"",Data!B86)</f>
        <v/>
      </c>
      <c r="D69" s="102" t="str">
        <f>IF(OR($F$6="",$F$7="",$F$8=""),"",Data!C86)</f>
        <v/>
      </c>
      <c r="E69" s="50"/>
      <c r="F69" s="81"/>
      <c r="G69" s="50"/>
      <c r="I69" s="80"/>
      <c r="K69" s="50"/>
      <c r="L69" s="71"/>
      <c r="M69" s="50"/>
    </row>
    <row r="70" spans="2:15" x14ac:dyDescent="0.25">
      <c r="B70" s="50"/>
      <c r="C70" s="30" t="str">
        <f>IF(OR($F$6="",$F$7="",$F$8=""),"",(IF(D70="","",Data!B87)))</f>
        <v/>
      </c>
      <c r="D70" s="106" t="str">
        <f>IF(OR($F$6="",$F$7="",$F$8=""),"",(IF($F$6="Gebiedsontwikkeling",(IF(F69="Nee",Data!C87,"")),IF($F$6="Locatieontwikkeling",(IF(F69="Nee",Data!C87,""))))))</f>
        <v/>
      </c>
      <c r="E70" s="50"/>
      <c r="F70" s="84"/>
      <c r="G70" s="50"/>
      <c r="I70" s="80"/>
      <c r="K70" s="50"/>
      <c r="L70" s="71"/>
      <c r="M70" s="50"/>
    </row>
    <row r="71" spans="2:15" x14ac:dyDescent="0.25">
      <c r="B71" s="50"/>
      <c r="C71" s="30" t="str">
        <f>IF(OR($F$6="",$F$7="",$F$8=""),"",Data!B88)</f>
        <v/>
      </c>
      <c r="D71" s="102" t="str">
        <f>IF(OR($F$6="",$F$7="",$F$8=""),"",Data!C88)</f>
        <v/>
      </c>
      <c r="E71" s="50"/>
      <c r="F71" s="81"/>
      <c r="G71" s="50"/>
      <c r="I71" s="80"/>
      <c r="K71" s="50"/>
      <c r="L71" s="71"/>
      <c r="M71" s="50"/>
    </row>
    <row r="72" spans="2:15" x14ac:dyDescent="0.25">
      <c r="B72" s="50"/>
      <c r="C72" s="30" t="str">
        <f>IF(OR($F$6="",$F$7="",$F$8=""),"",Data!B89)</f>
        <v/>
      </c>
      <c r="D72" s="102" t="str">
        <f>IF(OR($F$6="",$F$7="",$F$8=""),"",Data!C89)</f>
        <v/>
      </c>
      <c r="E72" s="50"/>
      <c r="F72" s="81"/>
      <c r="G72" s="50"/>
      <c r="I72" s="80"/>
      <c r="K72" s="50"/>
      <c r="L72" s="71"/>
      <c r="M72" s="50"/>
    </row>
    <row r="73" spans="2:15" x14ac:dyDescent="0.25">
      <c r="B73" s="50"/>
      <c r="C73" s="30" t="str">
        <f>IF(OR($F$6="",$F$7="",$F$8=""),"",(IF(D73="","",Data!B90)))</f>
        <v/>
      </c>
      <c r="D73" s="106" t="str">
        <f>IF(OR($F$6="",$F$7="",$F$8=""),"",(IF($F$6="Gebiedsontwikkeling",(IF(F72="Ja",Data!C90,"")),IF($F$6="Locatieontwikkeling",(IF(F72="Ja",Data!C90,""))))))</f>
        <v/>
      </c>
      <c r="E73" s="50"/>
      <c r="F73" s="84"/>
      <c r="G73" s="50"/>
      <c r="I73" s="80"/>
      <c r="K73" s="50"/>
      <c r="L73" s="71"/>
      <c r="M73" s="50"/>
    </row>
    <row r="74" spans="2:15" x14ac:dyDescent="0.25">
      <c r="B74" s="50"/>
      <c r="C74" s="30" t="str">
        <f>IF(OR($F$6="",$F$7="",$F$8=""),"",Data!B91)</f>
        <v/>
      </c>
      <c r="D74" s="102" t="str">
        <f>IF(OR($F$6="",$F$7="",$F$8=""),"",Data!C91)</f>
        <v/>
      </c>
      <c r="E74" s="50"/>
      <c r="F74" s="84"/>
      <c r="G74" s="50"/>
      <c r="H74" s="31"/>
      <c r="I74" s="80"/>
      <c r="K74" s="50"/>
      <c r="L74" s="71"/>
      <c r="M74" s="50"/>
    </row>
    <row r="75" spans="2:15" x14ac:dyDescent="0.25">
      <c r="B75" s="50"/>
      <c r="C75" s="30" t="str">
        <f>IF(OR($F$6="",$F$7="",$F$8=""),"",Data!B92)</f>
        <v/>
      </c>
      <c r="D75" s="102" t="str">
        <f>IF(OR($F$6="",$F$7="",$F$8=""),"",Data!C92)</f>
        <v/>
      </c>
      <c r="E75" s="50"/>
      <c r="F75" s="82"/>
      <c r="G75" s="50"/>
      <c r="H75" s="31" t="str">
        <f>IF(OR($F$6="",$F$7="",$F$8=""),"",IF(Data!D92=6,ROUND(((Data!M91*Data!I91)+Data!K91)-((Data!M91*Data!I91)+Data!K91)*Invulblad!F75,0),"Beantwoord eerst alle vragen van stap 4"))</f>
        <v/>
      </c>
      <c r="I75" s="76"/>
      <c r="J75" s="31" t="str">
        <f>IF(OR($F$6="",$F$7="",$F$8=""),"",(IF(Data!D92=6,IF(I75="",IF(H75="Beantwoord eerst alle vragen van stap 4","",H75),I75),"")))</f>
        <v/>
      </c>
      <c r="K75" s="50"/>
      <c r="L75" s="71"/>
      <c r="M75" s="50"/>
    </row>
    <row r="76" spans="2:15" ht="1.2" customHeight="1" x14ac:dyDescent="0.25">
      <c r="B76" s="50"/>
      <c r="C76" s="50"/>
      <c r="D76" s="66"/>
      <c r="E76" s="50"/>
      <c r="F76" s="50"/>
      <c r="G76" s="50"/>
      <c r="H76" s="50"/>
      <c r="I76" s="77"/>
      <c r="J76" s="50"/>
      <c r="K76" s="50"/>
      <c r="L76" s="66"/>
      <c r="M76" s="50"/>
    </row>
    <row r="77" spans="2:15" x14ac:dyDescent="0.25">
      <c r="B77" s="50"/>
      <c r="D77" s="101" t="str">
        <f>Data!C94</f>
        <v>Stap 5 - Contractueel</v>
      </c>
      <c r="E77" s="50"/>
      <c r="F77" s="84"/>
      <c r="G77" s="50"/>
      <c r="H77" s="30" t="str">
        <f>IF(OR($F$6="",$F$7="",$F$8=""),"",IF(Data!D101=3,IF($F$6="Gebiedsontwikkeling",Data!O99,(IF($F$6="Locatieontwikkeling",Data!O107,""))),""))</f>
        <v/>
      </c>
      <c r="I77" s="80"/>
      <c r="K77" s="50"/>
      <c r="L77" s="71"/>
      <c r="M77" s="50"/>
    </row>
    <row r="78" spans="2:15" x14ac:dyDescent="0.25">
      <c r="B78" s="50"/>
      <c r="C78" s="30" t="str">
        <f>IF(OR($F$6="",$F$7="",$F$8=""),"",(IF($F$6="Gebiedsontwikkeling",Data!B95,IF($F$6="Locatieontwikkeling",Data!B103,""))))</f>
        <v/>
      </c>
      <c r="D78" s="102" t="str">
        <f>IF(OR($F$6="",$F$7="",$F$8=""),"Vul eerst alle uitgangspunten in en vervolgens verschijnen hier vragen.",(IF($F$6="Gebiedsontwikkeling",Data!C95,IF($F$6="Locatieontwikkeling",Data!C103,""))))</f>
        <v>Vul eerst alle uitgangspunten in en vervolgens verschijnen hier vragen.</v>
      </c>
      <c r="E78" s="50"/>
      <c r="F78" s="84"/>
      <c r="G78" s="50"/>
      <c r="I78" s="80"/>
      <c r="K78" s="50"/>
      <c r="L78" s="71"/>
      <c r="M78" s="50"/>
    </row>
    <row r="79" spans="2:15" ht="28.2" customHeight="1" x14ac:dyDescent="0.25">
      <c r="B79" s="50"/>
      <c r="C79" s="35" t="str">
        <f>IF(OR($F$6="",$F$7="",$F$8=""),"",(IF($F$6="Gebiedsontwikkeling",Data!B96,IF($F$6="Locatieontwikkeling",Data!B104,""))))</f>
        <v/>
      </c>
      <c r="D79" s="107" t="str">
        <f>IF(OR($F$6="",$F$7="",$F$8=""),"",(IF($F$6="Gebiedsontwikkeling",Data!C96,IF($F$6="Locatieontwikkeling",Data!C104,""))))</f>
        <v/>
      </c>
      <c r="E79" s="50"/>
      <c r="F79" s="86"/>
      <c r="G79" s="50"/>
      <c r="I79" s="80"/>
      <c r="K79" s="50"/>
      <c r="L79" s="71"/>
      <c r="M79" s="50"/>
    </row>
    <row r="80" spans="2:15" x14ac:dyDescent="0.25">
      <c r="B80" s="50"/>
      <c r="C80" s="30" t="str">
        <f>IF(OR($F$6="",$F$7="",$F$8=""),"",(IF(D80="","",Data!B97)))</f>
        <v/>
      </c>
      <c r="D80" s="103" t="str">
        <f>IF(OR($F$6="",$F$7="",$F$8=""),"",(IF($F$6="Gebiedsontwikkeling",(IF(F79="Ja",Data!C97,"")),IF($F$6="Locatieontwikkeling",(IF(F79="Ja",Data!C105,""))))))</f>
        <v/>
      </c>
      <c r="E80" s="50"/>
      <c r="F80" s="84"/>
      <c r="G80" s="50"/>
      <c r="I80" s="80"/>
      <c r="K80" s="50"/>
      <c r="L80" s="71"/>
      <c r="M80" s="50"/>
      <c r="O80" s="34"/>
    </row>
    <row r="81" spans="2:15" x14ac:dyDescent="0.25">
      <c r="B81" s="50"/>
      <c r="C81" s="32" t="str">
        <f>IF(OR($F$6="",$F$7="",$F$8=""),"",(IF(D81="","",Data!B98)))</f>
        <v/>
      </c>
      <c r="D81" s="108" t="str">
        <f>IF(OR($F$6="",$F$7="",$F$8=""),"",(IF($F$6="Gebiedsontwikkeling",(IF(AND(F80="Ja",F79="Ja"),Data!C98,"")),IF($F$6="Locatieontwikkeling",(IF(AND(F80="Ja",F79="Ja"),Data!C106,""))))))</f>
        <v/>
      </c>
      <c r="E81" s="50"/>
      <c r="F81" s="84"/>
      <c r="G81" s="50"/>
      <c r="I81" s="80"/>
      <c r="K81" s="50"/>
      <c r="L81" s="71"/>
      <c r="M81" s="50"/>
      <c r="O81" s="34"/>
    </row>
    <row r="82" spans="2:15" x14ac:dyDescent="0.25">
      <c r="B82" s="50"/>
      <c r="C82" s="30" t="str">
        <f>IF(OR($F$6="",$F$7="",$F$8=""),"",(IF($F$6="Gebiedsontwikkeling",Data!B99,IF($F$6="Locatieontwikkeling",Data!B107,""))))</f>
        <v/>
      </c>
      <c r="D82" s="102" t="str">
        <f>IF(OR($F$6="",$F$7="",$F$8=""),"",(IF($F$6="Gebiedsontwikkeling",Data!C99,IF($F$6="Locatieontwikkeling",Data!C107,""))))</f>
        <v/>
      </c>
      <c r="E82" s="50"/>
      <c r="F82" s="84"/>
      <c r="G82" s="50"/>
      <c r="I82" s="80"/>
      <c r="K82" s="50"/>
      <c r="L82" s="71"/>
      <c r="M82" s="50"/>
    </row>
    <row r="83" spans="2:15" x14ac:dyDescent="0.25">
      <c r="B83" s="50"/>
      <c r="C83" s="30" t="str">
        <f>IF(OR($F$6="",$F$7="",$F$8=""),"",(IF($F$6="Gebiedsontwikkeling",Data!B100,IF($F$6="Locatieontwikkeling",Data!B108,""))))</f>
        <v/>
      </c>
      <c r="D83" s="102" t="str">
        <f>IF(OR($F$6="",$F$7="",$F$8=""),"",(IF($F$6="Gebiedsontwikkeling",Data!C100,IF($F$6="Locatieontwikkeling",Data!C108,""))))</f>
        <v/>
      </c>
      <c r="E83" s="50"/>
      <c r="F83" s="82"/>
      <c r="G83" s="50"/>
      <c r="H83" s="31" t="str">
        <f>IF(OR($F$6="",$F$7="",$F$8=""),"",IF(Data!D101=3,ROUND(IF($F$6="Gebiedsontwikkeling",(((Data!M99*Data!I99)+Data!K99)-((Data!M99*Data!I99)+Data!K99)*F83),(IF($F$6="Locatieontwikkeling",(((Data!M107*Data!I107)+Data!K107)-((Data!M107*Data!I107)+Data!K107)*F83),""))),0),"Beantwoord eerst alle vragen van stap 5"))</f>
        <v/>
      </c>
      <c r="I83" s="76"/>
      <c r="J83" s="31" t="str">
        <f>IF(OR($F$6="",$F$7="",$F$8=""),"",(IF(Data!D101=3,IF(I83="",IF(H83="Beantwoord eerst alle vragen van stap 5","",H83),I83),"")))</f>
        <v/>
      </c>
      <c r="K83" s="50"/>
      <c r="L83" s="71"/>
      <c r="M83" s="50"/>
    </row>
    <row r="84" spans="2:15" ht="1.2" customHeight="1" x14ac:dyDescent="0.25">
      <c r="B84" s="50"/>
      <c r="C84" s="50"/>
      <c r="D84" s="66"/>
      <c r="E84" s="50"/>
      <c r="F84" s="50"/>
      <c r="G84" s="50"/>
      <c r="H84" s="50"/>
      <c r="I84" s="77"/>
      <c r="J84" s="50"/>
      <c r="K84" s="50"/>
      <c r="L84" s="66"/>
      <c r="M84" s="50"/>
    </row>
    <row r="85" spans="2:15" x14ac:dyDescent="0.25">
      <c r="B85" s="50"/>
      <c r="D85" s="101" t="str">
        <f>Data!C110</f>
        <v>Stap 6 - Ruimtelijke procedure</v>
      </c>
      <c r="E85" s="50"/>
      <c r="F85" s="84"/>
      <c r="G85" s="50"/>
      <c r="H85" s="30" t="str">
        <f>IF(OR($F$6="",$F$7="",$F$8=""),"",IF(Data!D125=5,IF($F$7="Wijziging omgevingsplan",Data!O123,(IF($F$7="BOPA",Data!O139,""))),""))</f>
        <v/>
      </c>
      <c r="I85" s="80"/>
      <c r="K85" s="50"/>
      <c r="L85" s="71"/>
      <c r="M85" s="50"/>
    </row>
    <row r="86" spans="2:15" x14ac:dyDescent="0.25">
      <c r="B86" s="50"/>
      <c r="C86" s="30" t="str">
        <f>IF(OR($F$6="",$F$7="",$F$8=""),"",(IF($F$7="Wijziging omgevingsplan",Data!B111,IF($F$7="BOPA",Data!B127,""))))</f>
        <v/>
      </c>
      <c r="D86" s="102" t="str">
        <f>IF(OR($F$6="",$F$7="",$F$8=""),"Vul eerst alle uitgangspunten in en vervolgens verschijnen hier vragen.",(IF($F$7="Wijziging omgevingsplan",Data!C111,IF($F$7="BOPA",Data!C127,""))))</f>
        <v>Vul eerst alle uitgangspunten in en vervolgens verschijnen hier vragen.</v>
      </c>
      <c r="E86" s="50"/>
      <c r="F86" s="84"/>
      <c r="G86" s="50"/>
      <c r="I86" s="80"/>
      <c r="K86" s="50"/>
      <c r="L86" s="71"/>
      <c r="M86" s="50"/>
    </row>
    <row r="87" spans="2:15" x14ac:dyDescent="0.25">
      <c r="B87" s="50"/>
      <c r="C87" s="30" t="str">
        <f>IF(OR($F$6="",$F$7="",$F$8=""),"",(IF($F$7="Wijziging omgevingsplan",Data!B112,IF($F$7="BOPA",Data!B128,""))))</f>
        <v/>
      </c>
      <c r="D87" s="102" t="str">
        <f>IF(OR($F$6="",$F$7="",$F$8=""),"",(IF($F$7="Wijziging omgevingsplan",Data!C112,IF($F$7="BOPA",Data!C128,""))))</f>
        <v/>
      </c>
      <c r="E87" s="50"/>
      <c r="F87" s="81"/>
      <c r="G87" s="50"/>
      <c r="I87" s="80"/>
      <c r="K87" s="50"/>
      <c r="L87" s="71"/>
      <c r="M87" s="50"/>
    </row>
    <row r="88" spans="2:15" x14ac:dyDescent="0.25">
      <c r="B88" s="50"/>
      <c r="C88" s="30" t="str">
        <f>IF(OR($F$6="",$F$7="",$F$8=""),"",(IF($F$7="Wijziging omgevingsplan",Data!B113,IF($F$7="BOPA",Data!B129,""))))</f>
        <v/>
      </c>
      <c r="D88" s="107" t="str">
        <f>IF(OR($F$6="",$F$7="",$F$8=""),"",(IF($F$7="Wijziging omgevingsplan",Data!C113,IF($F$7="BOPA",Data!C129,""))))</f>
        <v/>
      </c>
      <c r="E88" s="50"/>
      <c r="F88" s="110"/>
      <c r="G88" s="50"/>
      <c r="I88" s="80"/>
      <c r="K88" s="50"/>
      <c r="L88" s="71"/>
      <c r="M88" s="50"/>
    </row>
    <row r="89" spans="2:15" x14ac:dyDescent="0.25">
      <c r="B89" s="50"/>
      <c r="C89" s="30" t="str">
        <f>IF(OR($F$6="",$F$7="",$F$8=""),"",(IF($F$7="Wijziging omgevingsplan",Data!B114,IF($F$7="BOPA",Data!B130,""))))</f>
        <v/>
      </c>
      <c r="D89" s="106" t="str">
        <f>IF(OR($F$6="",$F$7="",$F$8=""),"",(IF($F$7="Wijziging omgevingsplan",Data!C114,IF($F$7="BOPA",Data!C130,""))))</f>
        <v/>
      </c>
      <c r="E89" s="50"/>
      <c r="F89" s="111"/>
      <c r="G89" s="50"/>
      <c r="I89" s="80"/>
      <c r="K89" s="50"/>
      <c r="L89" s="71"/>
      <c r="M89" s="50"/>
    </row>
    <row r="90" spans="2:15" x14ac:dyDescent="0.25">
      <c r="B90" s="50"/>
      <c r="C90" s="30" t="str">
        <f>IF(OR($F$6="",$F$7="",$F$8=""),"",(IF($F$7="Wijziging omgevingsplan",Data!B115,IF($F$7="BOPA",Data!B131,""))))</f>
        <v/>
      </c>
      <c r="D90" s="106" t="str">
        <f>IF(OR($F$6="",$F$7="",$F$8=""),"",(IF($F$7="Wijziging omgevingsplan",Data!C115,IF($F$7="BOPA",Data!C131,""))))</f>
        <v/>
      </c>
      <c r="E90" s="50"/>
      <c r="F90" s="111"/>
      <c r="G90" s="50"/>
      <c r="I90" s="80"/>
      <c r="K90" s="50"/>
      <c r="L90" s="71"/>
      <c r="M90" s="50"/>
    </row>
    <row r="91" spans="2:15" x14ac:dyDescent="0.25">
      <c r="B91" s="50"/>
      <c r="C91" s="30" t="str">
        <f>IF(OR($F$6="",$F$7="",$F$8=""),"",(IF($F$7="Wijziging omgevingsplan",Data!B116,IF($F$7="BOPA",Data!B132,""))))</f>
        <v/>
      </c>
      <c r="D91" s="106" t="str">
        <f>IF(OR($F$6="",$F$7="",$F$8=""),"",(IF($F$7="Wijziging omgevingsplan",Data!C116,IF($F$7="BOPA",Data!C132,""))))</f>
        <v/>
      </c>
      <c r="E91" s="50"/>
      <c r="F91" s="111"/>
      <c r="G91" s="50"/>
      <c r="I91" s="80"/>
      <c r="K91" s="50"/>
      <c r="L91" s="71"/>
      <c r="M91" s="50"/>
    </row>
    <row r="92" spans="2:15" x14ac:dyDescent="0.25">
      <c r="B92" s="50"/>
      <c r="C92" s="30" t="str">
        <f>IF(OR($F$6="",$F$7="",$F$8=""),"",(IF($F$7="Wijziging omgevingsplan",Data!B117,IF($F$7="BOPA",Data!B133,""))))</f>
        <v/>
      </c>
      <c r="D92" s="106" t="str">
        <f>IF(OR($F$6="",$F$7="",$F$8=""),"",(IF($F$7="Wijziging omgevingsplan",Data!C117,IF($F$7="BOPA",Data!C133,""))))</f>
        <v/>
      </c>
      <c r="E92" s="50"/>
      <c r="F92" s="111"/>
      <c r="G92" s="50"/>
      <c r="I92" s="80"/>
      <c r="K92" s="50"/>
      <c r="L92" s="71"/>
      <c r="M92" s="50"/>
    </row>
    <row r="93" spans="2:15" x14ac:dyDescent="0.25">
      <c r="B93" s="50"/>
      <c r="C93" s="30" t="str">
        <f>IF(OR($F$6="",$F$7="",$F$8=""),"",(IF($F$7="Wijziging omgevingsplan",Data!B118,IF($F$7="BOPA",Data!B134,""))))</f>
        <v/>
      </c>
      <c r="D93" s="106" t="str">
        <f>IF(OR($F$6="",$F$7="",$F$8=""),"",(IF($F$7="Wijziging omgevingsplan",Data!C118,IF($F$7="BOPA",Data!C134,""))))</f>
        <v/>
      </c>
      <c r="E93" s="50"/>
      <c r="F93" s="112"/>
      <c r="G93" s="50"/>
      <c r="I93" s="80"/>
      <c r="K93" s="50"/>
      <c r="L93" s="71"/>
      <c r="M93" s="50"/>
    </row>
    <row r="94" spans="2:15" ht="28.2" customHeight="1" x14ac:dyDescent="0.25">
      <c r="B94" s="50"/>
      <c r="C94" s="30" t="str">
        <f>IF(OR($F$6="",$F$7="",$F$8=""),"",(IF($F$7="Wijziging omgevingsplan",Data!B119,IF($F$7="BOPA",Data!B135,""))))</f>
        <v/>
      </c>
      <c r="D94" s="107" t="str">
        <f>IF(OR($F$6="",$F$7="",$F$8=""),"",(IF($F$7="Wijziging omgevingsplan",Data!C119,IF($F$7="BOPA",Data!C135,""))))</f>
        <v/>
      </c>
      <c r="E94" s="50"/>
      <c r="F94" s="86"/>
      <c r="G94" s="50"/>
      <c r="I94" s="80"/>
      <c r="K94" s="50"/>
      <c r="L94" s="71"/>
      <c r="M94" s="50"/>
    </row>
    <row r="95" spans="2:15" x14ac:dyDescent="0.25">
      <c r="B95" s="50"/>
      <c r="C95" s="30" t="str">
        <f>IF(OR($F$6="",$F$7="",$F$8=""),"",(IF($F$7="Wijziging omgevingsplan",Data!B120,IF($F$7="BOPA",Data!B136,""))))</f>
        <v/>
      </c>
      <c r="D95" s="102" t="str">
        <f>IF(OR($F$6="",$F$7="",$F$8=""),"",(IF($F$7="Wijziging omgevingsplan",Data!C120,IF($F$7="BOPA",Data!C136,""))))</f>
        <v/>
      </c>
      <c r="E95" s="50"/>
      <c r="F95" s="84"/>
      <c r="G95" s="50"/>
      <c r="I95" s="80"/>
      <c r="K95" s="50"/>
      <c r="L95" s="71"/>
      <c r="M95" s="50"/>
    </row>
    <row r="96" spans="2:15" ht="28.2" customHeight="1" x14ac:dyDescent="0.25">
      <c r="B96" s="50"/>
      <c r="C96" s="30" t="str">
        <f>IF(OR($F$6="",$F$7="",$F$8=""),"",(IF($F$7="Wijziging omgevingsplan",Data!B121,IF($F$7="BOPA",Data!B137,""))))</f>
        <v/>
      </c>
      <c r="D96" s="107" t="str">
        <f>IF(OR($F$6="",$F$7="",$F$8=""),"",(IF($F$7="Wijziging omgevingsplan",Data!C121,IF($F$7="BOPA",Data!C137,""))))</f>
        <v/>
      </c>
      <c r="E96" s="50"/>
      <c r="F96" s="81"/>
      <c r="G96" s="50"/>
      <c r="I96" s="80"/>
      <c r="K96" s="50"/>
      <c r="L96" s="71"/>
      <c r="M96" s="50"/>
    </row>
    <row r="97" spans="2:13" x14ac:dyDescent="0.25">
      <c r="B97" s="50"/>
      <c r="C97" s="30" t="str">
        <f>IF(OR($F$6="",$F$7="",$F$8=""),"",(IF($F$7="Wijziging omgevingsplan",Data!B122,IF($F$7="BOPA",Data!B138,""))))</f>
        <v/>
      </c>
      <c r="D97" s="102" t="str">
        <f>IF(OR($F$6="",$F$7="",$F$8=""),"",(IF($F$7="Wijziging omgevingsplan",Data!C122,IF($F$7="BOPA",Data!C138,""))))</f>
        <v/>
      </c>
      <c r="E97" s="50"/>
      <c r="F97" s="81"/>
      <c r="G97" s="50"/>
      <c r="I97" s="80"/>
      <c r="K97" s="50"/>
      <c r="L97" s="71"/>
      <c r="M97" s="50"/>
    </row>
    <row r="98" spans="2:13" x14ac:dyDescent="0.25">
      <c r="B98" s="50"/>
      <c r="C98" s="30" t="str">
        <f>IF(OR($F$6="",$F$7="",$F$8=""),"",(IF($F$7="Wijziging omgevingsplan",Data!B123,IF($F$7="BOPA",Data!B139,""))))</f>
        <v/>
      </c>
      <c r="D98" s="102" t="str">
        <f>IF(OR($F$6="",$F$7="",$F$8=""),"",(IF($F$7="Wijziging omgevingsplan",Data!C123,IF($F$7="BOPA",Data!C139,""))))</f>
        <v/>
      </c>
      <c r="E98" s="50"/>
      <c r="F98" s="84"/>
      <c r="G98" s="50"/>
      <c r="I98" s="80"/>
      <c r="K98" s="50"/>
      <c r="L98" s="71"/>
      <c r="M98" s="50"/>
    </row>
    <row r="99" spans="2:13" x14ac:dyDescent="0.25">
      <c r="B99" s="50"/>
      <c r="C99" s="30" t="str">
        <f>IF(OR($F$6="",$F$7="",$F$8=""),"",(IF($F$7="Wijziging omgevingsplan",Data!B124,IF($F$7="BOPA",Data!B140,""))))</f>
        <v/>
      </c>
      <c r="D99" s="102" t="str">
        <f>IF(OR($F$6="",$F$7="",$F$8=""),"",(IF($F$7="Wijziging omgevingsplan",Data!C124,IF($F$7="BOPA",Data!C140,""))))</f>
        <v/>
      </c>
      <c r="E99" s="50"/>
      <c r="F99" s="82"/>
      <c r="G99" s="50"/>
      <c r="H99" s="31" t="str">
        <f>IF(OR($F$6="",$F$7="",$F$8=""),"",IF(Data!D125=5,ROUND(IF($F$7="Wijziging omgevingsplan",(((Data!M123*Data!I123)+Data!K123)-((Data!M123*Data!I123)+Data!K123)*F99),(IF($F$7="BOPA",(((Data!M139*Data!I139)+Data!K139)-((Data!M139*Data!I139)+Data!K139)*F99),""))),0),"Beantwoord eerst alle vragen van stap 6"))</f>
        <v/>
      </c>
      <c r="I99" s="76"/>
      <c r="J99" s="31" t="str">
        <f>IF(OR($F$6="",$F$7="",$F$8=""),"",(IF(Data!D125=5,IF(I99="",IF(H99="Beantwoord eerst alle vragen van stap 6","",H99),I99),"")))</f>
        <v/>
      </c>
      <c r="K99" s="50"/>
      <c r="L99" s="71"/>
      <c r="M99" s="50"/>
    </row>
    <row r="100" spans="2:13" ht="1.2" customHeight="1" x14ac:dyDescent="0.25">
      <c r="B100" s="50"/>
      <c r="C100" s="50"/>
      <c r="D100" s="66"/>
      <c r="E100" s="50"/>
      <c r="F100" s="50"/>
      <c r="G100" s="50"/>
      <c r="H100" s="50"/>
      <c r="I100" s="77"/>
      <c r="J100" s="50"/>
      <c r="K100" s="50"/>
      <c r="L100" s="66"/>
      <c r="M100" s="50"/>
    </row>
    <row r="101" spans="2:13" x14ac:dyDescent="0.25">
      <c r="B101" s="50"/>
      <c r="D101" s="101" t="str">
        <f>Data!C142</f>
        <v>Stap 7 - Bouwende partij</v>
      </c>
      <c r="E101" s="50"/>
      <c r="F101" s="84"/>
      <c r="G101" s="50"/>
      <c r="H101" s="30" t="str">
        <f>IF(OR($F$6="",$F$7="",$F$8=""),"",IF(Data!D150=4,IF($F$8="Gelijktijdig","",Data!O150),""))</f>
        <v/>
      </c>
      <c r="I101" s="80"/>
      <c r="K101" s="50"/>
      <c r="L101" s="71"/>
      <c r="M101" s="50"/>
    </row>
    <row r="102" spans="2:13" x14ac:dyDescent="0.25">
      <c r="B102" s="50"/>
      <c r="C102" s="30" t="str">
        <f>IF(OR($F$6="",$F$7="",$F$8=""),"",Data!B143)</f>
        <v/>
      </c>
      <c r="D102" s="102" t="str">
        <f>IF(OR($F$6="",$F$7="",$F$8=""),"Vul eerst alle uitgangspunten in en vervolgens verschijnen hier vragen.",Data!C143)</f>
        <v>Vul eerst alle uitgangspunten in en vervolgens verschijnen hier vragen.</v>
      </c>
      <c r="E102" s="50"/>
      <c r="F102" s="84"/>
      <c r="G102" s="50"/>
      <c r="I102" s="80"/>
      <c r="K102" s="50"/>
      <c r="L102" s="71"/>
      <c r="M102" s="50"/>
    </row>
    <row r="103" spans="2:13" x14ac:dyDescent="0.25">
      <c r="B103" s="50"/>
      <c r="C103" s="30" t="str">
        <f>IF(OR($F$6="",$F$7="",$F$8=""),"",Data!B144)</f>
        <v/>
      </c>
      <c r="D103" s="102" t="str">
        <f>IF(OR($F$6="",$F$7="",$F$8=""),"",Data!C144)</f>
        <v/>
      </c>
      <c r="E103" s="50"/>
      <c r="F103" s="81"/>
      <c r="G103" s="50"/>
      <c r="I103" s="80"/>
      <c r="K103" s="50"/>
      <c r="L103" s="71"/>
      <c r="M103" s="50"/>
    </row>
    <row r="104" spans="2:13" x14ac:dyDescent="0.25">
      <c r="B104" s="50"/>
      <c r="C104" s="30" t="str">
        <f>IF(OR($F$6="",$F$7="",$F$8=""),"",Data!B145)</f>
        <v/>
      </c>
      <c r="D104" s="102" t="str">
        <f>IF(OR($F$6="",$F$7="",$F$8=""),"",Data!C145)</f>
        <v/>
      </c>
      <c r="E104" s="50"/>
      <c r="F104" s="84"/>
      <c r="G104" s="50"/>
      <c r="I104" s="80"/>
      <c r="K104" s="50"/>
      <c r="L104" s="71"/>
      <c r="M104" s="50"/>
    </row>
    <row r="105" spans="2:13" x14ac:dyDescent="0.25">
      <c r="B105" s="50"/>
      <c r="C105" s="30" t="str">
        <f>IF(OR($F$6="",$F$7="",$F$8=""),"",Data!B146)</f>
        <v/>
      </c>
      <c r="D105" s="102" t="str">
        <f>IF(OR($F$6="",$F$7="",$F$8=""),"",Data!C146)</f>
        <v/>
      </c>
      <c r="E105" s="50"/>
      <c r="F105" s="81"/>
      <c r="G105" s="50"/>
      <c r="I105" s="80"/>
      <c r="K105" s="50"/>
      <c r="L105" s="71"/>
      <c r="M105" s="50"/>
    </row>
    <row r="106" spans="2:13" x14ac:dyDescent="0.25">
      <c r="B106" s="50"/>
      <c r="C106" s="30" t="str">
        <f>IF(OR($F$6="",$F$7="",$F$8=""),"",(IF(D106="","",Data!B147)))</f>
        <v/>
      </c>
      <c r="D106" s="106" t="str">
        <f>IF(OR($F$6="",$F$7="",$F$8=""),"",(IF(OR($F$6="Gebiedsontwikkeling",$F$6="Locatieontwikkeling"),IF(F105="Ja",Data!C147,Data!C148),"")))</f>
        <v/>
      </c>
      <c r="E106" s="50"/>
      <c r="F106" s="81"/>
      <c r="G106" s="50"/>
      <c r="I106" s="80"/>
      <c r="K106" s="50"/>
      <c r="L106" s="71"/>
      <c r="M106" s="50"/>
    </row>
    <row r="107" spans="2:13" x14ac:dyDescent="0.25">
      <c r="B107" s="50"/>
      <c r="C107" s="30" t="str">
        <f>IF(OR($F$6="",$F$7="",$F$8=""),"",Data!B149)</f>
        <v/>
      </c>
      <c r="D107" s="102" t="str">
        <f>IF(OR($F$6="",$F$7="",$F$8=""),"",Data!C149)</f>
        <v/>
      </c>
      <c r="E107" s="50"/>
      <c r="F107" s="81"/>
      <c r="G107" s="50"/>
      <c r="I107" s="80"/>
      <c r="K107" s="50"/>
      <c r="L107" s="71"/>
      <c r="M107" s="50"/>
    </row>
    <row r="108" spans="2:13" x14ac:dyDescent="0.25">
      <c r="B108" s="50"/>
      <c r="C108" s="30" t="str">
        <f>IF(OR($F$6="",$F$7="",$F$8=""),"",Data!B150)</f>
        <v/>
      </c>
      <c r="D108" s="102" t="str">
        <f>IF(OR($F$6="",$F$7="",$F$8=""),"",Data!C150)</f>
        <v/>
      </c>
      <c r="E108" s="50"/>
      <c r="F108" s="84"/>
      <c r="G108" s="50"/>
      <c r="I108" s="80"/>
      <c r="K108" s="50"/>
      <c r="L108" s="71"/>
      <c r="M108" s="50"/>
    </row>
    <row r="109" spans="2:13" x14ac:dyDescent="0.25">
      <c r="B109" s="50"/>
      <c r="C109" s="30" t="str">
        <f>IF(OR($F$6="",$F$7="",$F$8=""),"",Data!B151)</f>
        <v/>
      </c>
      <c r="D109" s="102" t="str">
        <f>IF(OR($F$6="",$F$7="",$F$8=""),"",Data!C151)</f>
        <v/>
      </c>
      <c r="E109" s="50"/>
      <c r="F109" s="82"/>
      <c r="G109" s="50"/>
      <c r="H109" s="31" t="str">
        <f>IF(OR($F$6="",$F$7="",$F$8=""),"",IF(Data!D150=4,IF($F$8="Gelijktijdig","Gelijktijdig met stap 6",ROUND(((Data!M150*Data!I150)+Data!K150)-((Data!M150*Data!I150)+Data!K150)*F109,0)),"Beantwoord eerst alle vragen van stap 7"))</f>
        <v/>
      </c>
      <c r="I109" s="76"/>
      <c r="J109" s="31" t="str">
        <f>IF(OR($F$6="",$F$7="",$F$8=""),"",(IF(Data!D150=4,IF(I109="",IF(OR(H109="Beantwoord eerst alle vragen van stap 7",H109="Gelijktijdig met stap 6"),"",H109),I109),"")))</f>
        <v/>
      </c>
      <c r="K109" s="50"/>
      <c r="L109" s="71"/>
      <c r="M109" s="50"/>
    </row>
    <row r="110" spans="2:13" ht="1.2" customHeight="1" x14ac:dyDescent="0.25">
      <c r="B110" s="50"/>
      <c r="C110" s="50"/>
      <c r="D110" s="66"/>
      <c r="E110" s="50"/>
      <c r="F110" s="50"/>
      <c r="G110" s="50"/>
      <c r="H110" s="50"/>
      <c r="I110" s="77"/>
      <c r="J110" s="50"/>
      <c r="K110" s="50"/>
      <c r="L110" s="66"/>
      <c r="M110" s="50"/>
    </row>
    <row r="111" spans="2:13" x14ac:dyDescent="0.25">
      <c r="B111" s="50"/>
      <c r="D111" s="101" t="str">
        <f>Data!C153</f>
        <v>Stap 8 - Omgevingsvergunning</v>
      </c>
      <c r="E111" s="50"/>
      <c r="F111" s="84"/>
      <c r="G111" s="50"/>
      <c r="H111" s="30" t="str">
        <f>IF(OR($F$6="",$F$7="",$F$8=""),"",IF(Data!D162=4,Data!O161,""))</f>
        <v/>
      </c>
      <c r="I111" s="80"/>
      <c r="K111" s="50"/>
      <c r="L111" s="71"/>
      <c r="M111" s="50"/>
    </row>
    <row r="112" spans="2:13" x14ac:dyDescent="0.25">
      <c r="B112" s="50"/>
      <c r="C112" s="30" t="str">
        <f>IF(OR($F$6="",$F$7="",$F$8=""),"",Data!B154)</f>
        <v/>
      </c>
      <c r="D112" s="102" t="str">
        <f>IF(OR($F$6="",$F$7="",$F$8=""),"Vul eerst alle uitgangspunten in en vervolgens verschijnen hier vragen.",Data!C154)</f>
        <v>Vul eerst alle uitgangspunten in en vervolgens verschijnen hier vragen.</v>
      </c>
      <c r="E112" s="50"/>
      <c r="F112" s="84"/>
      <c r="G112" s="50"/>
      <c r="I112" s="80"/>
      <c r="K112" s="50"/>
      <c r="L112" s="71"/>
      <c r="M112" s="50"/>
    </row>
    <row r="113" spans="2:15" x14ac:dyDescent="0.25">
      <c r="B113" s="50"/>
      <c r="C113" s="30" t="str">
        <f>IF(OR($F$6="",$F$7="",$F$8=""),"",Data!B155)</f>
        <v/>
      </c>
      <c r="D113" s="102" t="str">
        <f>IF(OR($F$6="",$F$7="",$F$8=""),"",Data!C155)</f>
        <v/>
      </c>
      <c r="E113" s="50"/>
      <c r="F113" s="81"/>
      <c r="G113" s="50"/>
      <c r="I113" s="80"/>
      <c r="K113" s="50"/>
      <c r="L113" s="71"/>
      <c r="M113" s="50"/>
    </row>
    <row r="114" spans="2:15" ht="28.2" customHeight="1" x14ac:dyDescent="0.25">
      <c r="B114" s="50"/>
      <c r="C114" s="30" t="str">
        <f>IF(OR($F$6="",$F$7="",$F$8=""),"",(IF(D114="","",Data!B156)))</f>
        <v/>
      </c>
      <c r="D114" s="109" t="str">
        <f>IF(OR($F$6="",$F$7="",$F$8=""),"",(IF(OR($F$6="Gebiedsontwikkeling",$F$6="Locatieontwikkeling"),IF(F113="Ja",Data!C157,Data!C156),"")))</f>
        <v/>
      </c>
      <c r="E114" s="50"/>
      <c r="F114" s="81"/>
      <c r="G114" s="50"/>
      <c r="I114" s="80"/>
      <c r="K114" s="50"/>
      <c r="L114" s="71"/>
      <c r="M114" s="50"/>
    </row>
    <row r="115" spans="2:15" x14ac:dyDescent="0.25">
      <c r="B115" s="50"/>
      <c r="C115" s="30" t="str">
        <f>IF(OR($F$6="",$F$7="",$F$8=""),"",Data!B158)</f>
        <v/>
      </c>
      <c r="D115" s="102" t="str">
        <f>IF(OR($F$6="",$F$7="",$F$8=""),"",Data!C158)</f>
        <v/>
      </c>
      <c r="E115" s="50"/>
      <c r="F115" s="84"/>
      <c r="G115" s="50"/>
      <c r="I115" s="80"/>
      <c r="K115" s="50"/>
      <c r="L115" s="71"/>
      <c r="M115" s="50"/>
    </row>
    <row r="116" spans="2:15" x14ac:dyDescent="0.25">
      <c r="B116" s="50"/>
      <c r="C116" s="30" t="str">
        <f>IF(OR($F$6="",$F$7="",$F$8=""),"",Data!B159)</f>
        <v/>
      </c>
      <c r="D116" s="102" t="str">
        <f>IF(OR($F$6="",$F$7="",$F$8=""),"",Data!C159)</f>
        <v/>
      </c>
      <c r="E116" s="50"/>
      <c r="F116" s="81"/>
      <c r="G116" s="50"/>
      <c r="I116" s="80"/>
      <c r="K116" s="50"/>
      <c r="L116" s="71"/>
      <c r="M116" s="50"/>
    </row>
    <row r="117" spans="2:15" x14ac:dyDescent="0.25">
      <c r="B117" s="50"/>
      <c r="C117" s="30" t="str">
        <f>IF(OR($F$6="",$F$7="",$F$8=""),"",(IF(D117="","",Data!B160)))</f>
        <v/>
      </c>
      <c r="D117" s="106" t="str">
        <f>IF(OR($F$6="",$F$7="",$F$8=""),"",(IF($F$6="Gebiedsontwikkeling",(IF(F116="Ja",Data!C160,"")),IF($F$6="Locatieontwikkeling",(IF(F116="Ja",Data!C160,""))))))</f>
        <v/>
      </c>
      <c r="E117" s="50"/>
      <c r="F117" s="84"/>
      <c r="G117" s="50"/>
      <c r="I117" s="80"/>
      <c r="K117" s="50"/>
      <c r="L117" s="71"/>
      <c r="M117" s="50"/>
    </row>
    <row r="118" spans="2:15" x14ac:dyDescent="0.25">
      <c r="B118" s="50"/>
      <c r="C118" s="30" t="str">
        <f>IF(OR($F$6="",$F$7="",$F$8=""),"",Data!B161)</f>
        <v/>
      </c>
      <c r="D118" s="102" t="str">
        <f>IF(OR($F$6="",$F$7="",$F$8=""),"",Data!C161)</f>
        <v/>
      </c>
      <c r="E118" s="50"/>
      <c r="F118" s="84"/>
      <c r="G118" s="50"/>
      <c r="I118" s="80"/>
      <c r="K118" s="50"/>
      <c r="L118" s="71"/>
      <c r="M118" s="50"/>
    </row>
    <row r="119" spans="2:15" x14ac:dyDescent="0.25">
      <c r="B119" s="50"/>
      <c r="C119" s="30" t="str">
        <f>IF(OR($F$6="",$F$7="",$F$8=""),"",Data!B162)</f>
        <v/>
      </c>
      <c r="D119" s="102" t="str">
        <f>IF(OR($F$6="",$F$7="",$F$8=""),"",Data!C162)</f>
        <v/>
      </c>
      <c r="E119" s="50"/>
      <c r="F119" s="82"/>
      <c r="G119" s="50"/>
      <c r="H119" s="31" t="str">
        <f>IF(OR($F$6="",$F$7="",$F$8=""),"",IF(Data!D162=4,ROUND(((Data!M161*Data!I161)+Data!K161)-((Data!M161*Data!I161)+Data!K161)*Invulblad!F119,0),"Beantwoord eerst alle vragen van stap 8"))</f>
        <v/>
      </c>
      <c r="I119" s="76"/>
      <c r="J119" s="31" t="str">
        <f>IF(OR($F$6="",$F$7="",$F$8=""),"",(IF(Data!D162=4,IF(I119="",IF(H119="Beantwoord eerst alle vragen van stap 8","",H119),I119),"")))</f>
        <v/>
      </c>
      <c r="K119" s="50"/>
      <c r="L119" s="71"/>
      <c r="M119" s="50"/>
    </row>
    <row r="120" spans="2:15" ht="1.2" customHeight="1" x14ac:dyDescent="0.25">
      <c r="B120" s="50"/>
      <c r="C120" s="50"/>
      <c r="D120" s="66"/>
      <c r="E120" s="50"/>
      <c r="F120" s="50"/>
      <c r="G120" s="50"/>
      <c r="H120" s="50"/>
      <c r="I120" s="77"/>
      <c r="J120" s="50"/>
      <c r="K120" s="50"/>
      <c r="L120" s="66"/>
      <c r="M120" s="50"/>
    </row>
    <row r="121" spans="2:15" x14ac:dyDescent="0.25">
      <c r="B121" s="50"/>
      <c r="D121" s="101" t="str">
        <f>Data!C164</f>
        <v>Stap 9 - Realisatie/planning</v>
      </c>
      <c r="E121" s="50"/>
      <c r="F121" s="84"/>
      <c r="G121" s="50"/>
      <c r="I121" s="80"/>
      <c r="K121" s="50"/>
      <c r="L121" s="71"/>
      <c r="M121" s="50"/>
    </row>
    <row r="122" spans="2:15" x14ac:dyDescent="0.25">
      <c r="B122" s="50"/>
      <c r="C122" s="30" t="str">
        <f>IF(OR($F$6="",$F$7="",$F$8=""),"",Data!B165)</f>
        <v/>
      </c>
      <c r="D122" s="102" t="str">
        <f>IF(OR($F$6="",$F$7="",$F$8=""),"Vul eerst alle uitgangspunten in en vervolgens verschijnen hier vragen.",Data!C165)</f>
        <v>Vul eerst alle uitgangspunten in en vervolgens verschijnen hier vragen.</v>
      </c>
      <c r="E122" s="50"/>
      <c r="F122" s="84"/>
      <c r="G122" s="50"/>
      <c r="I122" s="80"/>
      <c r="K122" s="50"/>
      <c r="L122" s="71"/>
      <c r="M122" s="50"/>
    </row>
    <row r="123" spans="2:15" x14ac:dyDescent="0.25">
      <c r="B123" s="50"/>
      <c r="C123" s="30" t="str">
        <f>IF(OR($F$6="",$F$7="",$F$8=""),"",Data!B166)</f>
        <v/>
      </c>
      <c r="D123" s="102" t="str">
        <f>IF(OR($F$6="",$F$7="",$F$8=""),"",Data!C166)</f>
        <v/>
      </c>
      <c r="E123" s="50"/>
      <c r="F123" s="81"/>
      <c r="G123" s="50"/>
      <c r="I123" s="80"/>
      <c r="K123" s="50"/>
      <c r="L123" s="71"/>
      <c r="M123" s="50"/>
    </row>
    <row r="124" spans="2:15" x14ac:dyDescent="0.25">
      <c r="B124" s="50"/>
      <c r="C124" s="30" t="str">
        <f>IF(OR($F$6="",$F$7="",$F$8=""),"",(IF(D124="","",Data!B167)))</f>
        <v/>
      </c>
      <c r="D124" s="103" t="str">
        <f>IF(OR($F$6="",$F$7="",$F$8=""),"",(IF(F123="Ja",Data!C167,"")))</f>
        <v/>
      </c>
      <c r="E124" s="50"/>
      <c r="F124" s="84"/>
      <c r="G124" s="50"/>
      <c r="I124" s="80"/>
      <c r="K124" s="50"/>
      <c r="L124" s="71"/>
      <c r="M124" s="50"/>
      <c r="O124" s="34"/>
    </row>
    <row r="125" spans="2:15" x14ac:dyDescent="0.25">
      <c r="B125" s="50"/>
      <c r="C125" s="30" t="str">
        <f>IF(OR($F$6="",$F$7="",$F$8=""),"",Data!B168)</f>
        <v/>
      </c>
      <c r="D125" s="102" t="str">
        <f>IF(OR($F$6="",$F$7="",$F$8=""),"",Data!C168)</f>
        <v/>
      </c>
      <c r="E125" s="50"/>
      <c r="F125" s="81"/>
      <c r="G125" s="50"/>
      <c r="I125" s="80"/>
      <c r="K125" s="50"/>
      <c r="L125" s="71"/>
      <c r="M125" s="50"/>
    </row>
    <row r="126" spans="2:15" x14ac:dyDescent="0.25">
      <c r="B126" s="50"/>
      <c r="C126" s="30" t="str">
        <f>IF(OR($F$6="",$F$7="",$F$8=""),"",Data!B169)</f>
        <v/>
      </c>
      <c r="D126" s="102" t="str">
        <f>IF(OR($F$6="",$F$7="",$F$8=""),"",Data!C169)</f>
        <v/>
      </c>
      <c r="E126" s="50"/>
      <c r="F126" s="84"/>
      <c r="G126" s="50"/>
      <c r="I126" s="80"/>
      <c r="K126" s="50"/>
      <c r="L126" s="71"/>
      <c r="M126" s="50"/>
    </row>
    <row r="127" spans="2:15" x14ac:dyDescent="0.25">
      <c r="B127" s="50"/>
      <c r="C127" s="30" t="str">
        <f>IF(OR($F$6="",$F$7="",$F$8=""),"",Data!B170)</f>
        <v/>
      </c>
      <c r="D127" s="102" t="str">
        <f>IF(OR($F$6="",$F$7="",$F$8=""),"",Data!C170)</f>
        <v/>
      </c>
      <c r="E127" s="50"/>
      <c r="F127" s="81"/>
      <c r="G127" s="50"/>
      <c r="I127" s="80"/>
      <c r="K127" s="50"/>
      <c r="L127" s="71"/>
      <c r="M127" s="50"/>
    </row>
    <row r="128" spans="2:15" x14ac:dyDescent="0.25">
      <c r="B128" s="50"/>
      <c r="C128" s="30" t="str">
        <f>IF(OR($F$6="",$F$7="",$F$8=""),"",Data!B171)</f>
        <v/>
      </c>
      <c r="D128" s="102" t="str">
        <f>IF(OR($F$6="",$F$7="",$F$8=""),"",Data!C171)</f>
        <v/>
      </c>
      <c r="E128" s="50"/>
      <c r="F128" s="81"/>
      <c r="G128" s="50"/>
      <c r="I128" s="80"/>
      <c r="K128" s="50"/>
      <c r="L128" s="71"/>
      <c r="M128" s="50"/>
    </row>
    <row r="129" spans="2:15" x14ac:dyDescent="0.25">
      <c r="B129" s="50"/>
      <c r="C129" s="30" t="str">
        <f>IF(OR($F$6="",$F$7="",$F$8=""),"",Data!B172)</f>
        <v/>
      </c>
      <c r="D129" s="102" t="str">
        <f>IF(OR($F$6="",$F$7="",$F$8=""),"",Data!C172)</f>
        <v/>
      </c>
      <c r="E129" s="50"/>
      <c r="F129" s="84"/>
      <c r="G129" s="50"/>
      <c r="I129" s="80"/>
      <c r="K129" s="50"/>
      <c r="L129" s="71"/>
      <c r="M129" s="50"/>
    </row>
    <row r="130" spans="2:15" x14ac:dyDescent="0.25">
      <c r="B130" s="50"/>
      <c r="C130" s="30" t="str">
        <f>IF(OR($F$6="",$F$7="",$F$8=""),"",Data!B173)</f>
        <v/>
      </c>
      <c r="D130" s="102" t="str">
        <f>IF(OR($F$6="",$F$7="",$F$8=""),"",Data!C173)</f>
        <v/>
      </c>
      <c r="E130" s="50"/>
      <c r="F130" s="81"/>
      <c r="G130" s="50"/>
      <c r="I130" s="80"/>
      <c r="K130" s="50"/>
      <c r="L130" s="71"/>
      <c r="M130" s="50"/>
    </row>
    <row r="131" spans="2:15" x14ac:dyDescent="0.25">
      <c r="B131" s="50"/>
      <c r="C131" s="30" t="str">
        <f>IF(OR($F$6="",$F$7="",$F$8=""),"",Data!B174)</f>
        <v/>
      </c>
      <c r="D131" s="102" t="str">
        <f>IF(OR($F$6="",$F$7="",$F$8=""),"",Data!C174)</f>
        <v/>
      </c>
      <c r="E131" s="50"/>
      <c r="F131" s="81"/>
      <c r="G131" s="50"/>
      <c r="I131" s="80"/>
      <c r="K131" s="50"/>
      <c r="L131" s="71"/>
      <c r="M131" s="50"/>
    </row>
    <row r="132" spans="2:15" x14ac:dyDescent="0.25">
      <c r="B132" s="50"/>
      <c r="C132" s="30" t="str">
        <f>IF(OR($F$6="",$F$7="",$F$8=""),"",Data!B175)</f>
        <v/>
      </c>
      <c r="D132" s="102" t="str">
        <f>IF(OR($F$6="",$F$7="",$F$8=""),"",Data!C175)</f>
        <v/>
      </c>
      <c r="E132" s="50"/>
      <c r="F132" s="84"/>
      <c r="G132" s="50"/>
      <c r="I132" s="80"/>
      <c r="K132" s="50"/>
      <c r="L132" s="71"/>
      <c r="M132" s="50"/>
    </row>
    <row r="133" spans="2:15" x14ac:dyDescent="0.25">
      <c r="B133" s="50"/>
      <c r="C133" s="30" t="str">
        <f>IF(OR($F$6="",$F$7="",$F$8=""),"",Data!B176)</f>
        <v/>
      </c>
      <c r="D133" s="102" t="str">
        <f>IF(OR($F$6="",$F$7="",$F$8=""),"",Data!C176)</f>
        <v/>
      </c>
      <c r="E133" s="50"/>
      <c r="F133" s="82"/>
      <c r="G133" s="50"/>
      <c r="H133" s="31" t="str">
        <f>IF(OR($F$6="",$F$7="",$F$8=""),"",IF(Data!D176=7,"Zelf in te vullen","Beantwoord eerst alle vragen van stap 9"))</f>
        <v/>
      </c>
      <c r="I133" s="76"/>
      <c r="J133" s="31" t="str">
        <f>IF(OR($F$6="",$F$7="",$F$8=""),"",(IF(OR($F$123="",$F$125="",$F$127="",$F$128="",$F$130="",$F$131=""),"",IF(I133="",IF(H133="Beantwoord eerst alle vragen van stap 9","",""),I133))))</f>
        <v/>
      </c>
      <c r="K133" s="50"/>
      <c r="L133" s="71"/>
      <c r="M133" s="50"/>
      <c r="O133" s="34"/>
    </row>
    <row r="134" spans="2:15" ht="1.95" customHeight="1" x14ac:dyDescent="0.25">
      <c r="B134" s="50"/>
      <c r="C134" s="50"/>
      <c r="D134" s="50"/>
      <c r="E134" s="50"/>
      <c r="F134" s="50"/>
      <c r="G134" s="50"/>
      <c r="H134" s="50"/>
      <c r="I134" s="57"/>
      <c r="J134" s="50"/>
      <c r="K134" s="50"/>
      <c r="L134" s="50"/>
      <c r="M134" s="50"/>
    </row>
    <row r="135" spans="2:15" x14ac:dyDescent="0.25">
      <c r="I135" s="31"/>
    </row>
    <row r="136" spans="2:15" x14ac:dyDescent="0.25">
      <c r="I136" s="31"/>
    </row>
    <row r="137" spans="2:15" x14ac:dyDescent="0.25">
      <c r="I137" s="31"/>
    </row>
    <row r="138" spans="2:15" x14ac:dyDescent="0.25">
      <c r="I138" s="31"/>
    </row>
    <row r="139" spans="2:15" x14ac:dyDescent="0.25">
      <c r="I139" s="31"/>
    </row>
    <row r="140" spans="2:15" x14ac:dyDescent="0.25">
      <c r="I140" s="31"/>
    </row>
    <row r="141" spans="2:15" x14ac:dyDescent="0.25">
      <c r="I141" s="31"/>
    </row>
    <row r="142" spans="2:15" x14ac:dyDescent="0.25">
      <c r="I142" s="31"/>
    </row>
    <row r="143" spans="2:15" x14ac:dyDescent="0.25">
      <c r="I143" s="31"/>
    </row>
    <row r="144" spans="2:15" x14ac:dyDescent="0.25">
      <c r="I144" s="31"/>
    </row>
    <row r="145" spans="8:9" x14ac:dyDescent="0.25">
      <c r="I145" s="31"/>
    </row>
    <row r="146" spans="8:9" x14ac:dyDescent="0.25">
      <c r="I146" s="31"/>
    </row>
    <row r="147" spans="8:9" x14ac:dyDescent="0.25">
      <c r="H147" s="31"/>
      <c r="I147" s="31"/>
    </row>
    <row r="148" spans="8:9" x14ac:dyDescent="0.25">
      <c r="H148" s="31"/>
      <c r="I148" s="31"/>
    </row>
    <row r="149" spans="8:9" x14ac:dyDescent="0.25">
      <c r="I149" s="31"/>
    </row>
    <row r="150" spans="8:9" x14ac:dyDescent="0.25">
      <c r="I150" s="31"/>
    </row>
    <row r="151" spans="8:9" x14ac:dyDescent="0.25">
      <c r="I151" s="31"/>
    </row>
    <row r="152" spans="8:9" x14ac:dyDescent="0.25">
      <c r="I152" s="31"/>
    </row>
    <row r="153" spans="8:9" x14ac:dyDescent="0.25">
      <c r="I153" s="31"/>
    </row>
    <row r="154" spans="8:9" x14ac:dyDescent="0.25">
      <c r="I154" s="31"/>
    </row>
  </sheetData>
  <sheetProtection algorithmName="SHA-512" hashValue="5qUYcLSkjdqdWJ/+ONkJigSCixbPeRhu4Ih3ozdYBR4txBTFJRDqjobU4lr3h6qS8GV9YlFdGU7kR8F82xvRqA==" saltValue="Az3gW5rU+sET0xz/BUIYjQ==" spinCount="100000" sheet="1" objects="1" scenarios="1"/>
  <mergeCells count="1">
    <mergeCell ref="F88:F93"/>
  </mergeCells>
  <phoneticPr fontId="5" type="noConversion"/>
  <conditionalFormatting sqref="C27:C46">
    <cfRule type="containsText" dxfId="140" priority="70" operator="containsText" text="A. Prestatieafspraken">
      <formula>NOT(ISERROR(SEARCH("A. Prestatieafspraken",C27)))</formula>
    </cfRule>
  </conditionalFormatting>
  <conditionalFormatting sqref="C29">
    <cfRule type="containsText" dxfId="139" priority="38" operator="containsText" text="a.">
      <formula>NOT(ISERROR(SEARCH("a.",C29)))</formula>
    </cfRule>
  </conditionalFormatting>
  <conditionalFormatting sqref="C34">
    <cfRule type="containsText" dxfId="138" priority="69" operator="containsText" text="a.">
      <formula>NOT(ISERROR(SEARCH("a.",C34)))</formula>
    </cfRule>
  </conditionalFormatting>
  <conditionalFormatting sqref="C39:C40">
    <cfRule type="containsText" dxfId="137" priority="3" operator="containsText" text="a.">
      <formula>NOT(ISERROR(SEARCH("a.",C39)))</formula>
    </cfRule>
  </conditionalFormatting>
  <conditionalFormatting sqref="C54">
    <cfRule type="containsText" dxfId="136" priority="36" operator="containsText" text="a.">
      <formula>NOT(ISERROR(SEARCH("a.",C54)))</formula>
    </cfRule>
    <cfRule type="containsText" dxfId="135" priority="37" operator="containsText" text="A. Prestatieafspraken">
      <formula>NOT(ISERROR(SEARCH("A. Prestatieafspraken",C54)))</formula>
    </cfRule>
  </conditionalFormatting>
  <conditionalFormatting sqref="C57">
    <cfRule type="containsText" dxfId="134" priority="31" operator="containsText" text="a.">
      <formula>NOT(ISERROR(SEARCH("a.",C57)))</formula>
    </cfRule>
    <cfRule type="containsText" dxfId="133" priority="32" operator="containsText" text="A. Prestatieafspraken">
      <formula>NOT(ISERROR(SEARCH("A. Prestatieafspraken",C57)))</formula>
    </cfRule>
  </conditionalFormatting>
  <conditionalFormatting sqref="C70">
    <cfRule type="containsText" dxfId="132" priority="233" operator="containsText" text="a.">
      <formula>NOT(ISERROR(SEARCH("a.",C70)))</formula>
    </cfRule>
    <cfRule type="containsText" dxfId="131" priority="239" operator="containsText" text="A. Prestatieafspraken">
      <formula>NOT(ISERROR(SEARCH("A. Prestatieafspraken",C70)))</formula>
    </cfRule>
  </conditionalFormatting>
  <conditionalFormatting sqref="C73">
    <cfRule type="containsText" dxfId="130" priority="228" operator="containsText" text="a.">
      <formula>NOT(ISERROR(SEARCH("a.",C73)))</formula>
    </cfRule>
    <cfRule type="containsText" dxfId="129" priority="229" operator="containsText" text="A. Prestatieafspraken">
      <formula>NOT(ISERROR(SEARCH("A. Prestatieafspraken",C73)))</formula>
    </cfRule>
    <cfRule type="containsText" dxfId="128" priority="227" operator="containsText" text="b.">
      <formula>NOT(ISERROR(SEARCH("b.",C73)))</formula>
    </cfRule>
  </conditionalFormatting>
  <conditionalFormatting sqref="C78:C83">
    <cfRule type="containsText" dxfId="127" priority="28" operator="containsText" text="A. Prestatieafspraken">
      <formula>NOT(ISERROR(SEARCH("A. Prestatieafspraken",C78)))</formula>
    </cfRule>
  </conditionalFormatting>
  <conditionalFormatting sqref="C80:C81">
    <cfRule type="containsText" dxfId="126" priority="27" operator="containsText" text="a.">
      <formula>NOT(ISERROR(SEARCH("a.",C80)))</formula>
    </cfRule>
  </conditionalFormatting>
  <conditionalFormatting sqref="C86:C99">
    <cfRule type="containsText" dxfId="125" priority="204" operator="containsText" text="A. Prestatieafspraken">
      <formula>NOT(ISERROR(SEARCH("A. Prestatieafspraken",C86)))</formula>
    </cfRule>
  </conditionalFormatting>
  <conditionalFormatting sqref="C106">
    <cfRule type="containsText" dxfId="124" priority="194" operator="containsText" text="a.">
      <formula>NOT(ISERROR(SEARCH("a.",C106)))</formula>
    </cfRule>
    <cfRule type="containsText" dxfId="123" priority="195" operator="containsText" text="A. Prestatieafspraken">
      <formula>NOT(ISERROR(SEARCH("A. Prestatieafspraken",C106)))</formula>
    </cfRule>
  </conditionalFormatting>
  <conditionalFormatting sqref="C114">
    <cfRule type="containsText" dxfId="122" priority="171" operator="containsText" text="a.">
      <formula>NOT(ISERROR(SEARCH("a.",C114)))</formula>
    </cfRule>
    <cfRule type="containsText" dxfId="121" priority="172" operator="containsText" text="A. Prestatieafspraken">
      <formula>NOT(ISERROR(SEARCH("A. Prestatieafspraken",C114)))</formula>
    </cfRule>
  </conditionalFormatting>
  <conditionalFormatting sqref="C117">
    <cfRule type="containsText" dxfId="120" priority="169" operator="containsText" text="a.">
      <formula>NOT(ISERROR(SEARCH("a.",C117)))</formula>
    </cfRule>
    <cfRule type="containsText" dxfId="119" priority="170" operator="containsText" text="A. Prestatieafspraken">
      <formula>NOT(ISERROR(SEARCH("A. Prestatieafspraken",C117)))</formula>
    </cfRule>
  </conditionalFormatting>
  <conditionalFormatting sqref="C124">
    <cfRule type="containsText" dxfId="118" priority="21" operator="containsText" text="A. Prestatieafspraken">
      <formula>NOT(ISERROR(SEARCH("A. Prestatieafspraken",C124)))</formula>
    </cfRule>
    <cfRule type="containsText" dxfId="117" priority="20" operator="containsText" text="a.">
      <formula>NOT(ISERROR(SEARCH("a.",C124)))</formula>
    </cfRule>
  </conditionalFormatting>
  <conditionalFormatting sqref="C40:D40">
    <cfRule type="expression" dxfId="116" priority="9">
      <formula>$F$6="Gebiedsontwikkeling"</formula>
    </cfRule>
  </conditionalFormatting>
  <conditionalFormatting sqref="D16">
    <cfRule type="containsText" dxfId="115" priority="265" operator="containsText" text="Prestatieafspraken">
      <formula>NOT(ISERROR(SEARCH("Prestatieafspraken",D16)))</formula>
    </cfRule>
  </conditionalFormatting>
  <conditionalFormatting sqref="D19">
    <cfRule type="containsText" dxfId="114" priority="147" operator="containsText" text="Duiding van locaties">
      <formula>NOT(ISERROR(SEARCH("Duiding van locaties",D19)))</formula>
    </cfRule>
  </conditionalFormatting>
  <conditionalFormatting sqref="D23">
    <cfRule type="containsText" dxfId="113" priority="263" operator="containsText" text="Voltooiing Stap 1 - Beleidsmatig">
      <formula>NOT(ISERROR(SEARCH("Voltooiing Stap 1 - Beleidsmatig",D23)))</formula>
    </cfRule>
  </conditionalFormatting>
  <conditionalFormatting sqref="D27">
    <cfRule type="expression" dxfId="112" priority="2">
      <formula>$F$6=""</formula>
    </cfRule>
    <cfRule type="containsText" dxfId="111" priority="261" operator="containsText" text="Intentieovereenkomst met principeverzoek">
      <formula>NOT(ISERROR(SEARCH("Intentieovereenkomst met principeverzoek",D27)))</formula>
    </cfRule>
  </conditionalFormatting>
  <conditionalFormatting sqref="D29">
    <cfRule type="containsText" dxfId="110" priority="39" operator="containsText" text="Zo nee,">
      <formula>NOT(ISERROR(SEARCH("Zo nee,",D29)))</formula>
    </cfRule>
  </conditionalFormatting>
  <conditionalFormatting sqref="D34">
    <cfRule type="expression" dxfId="109" priority="15">
      <formula>$F$6="Locatieontwikkeling"</formula>
    </cfRule>
  </conditionalFormatting>
  <conditionalFormatting sqref="D35">
    <cfRule type="expression" dxfId="108" priority="14">
      <formula>$F$6="Gebiedsontwikkeling"</formula>
    </cfRule>
  </conditionalFormatting>
  <conditionalFormatting sqref="D37">
    <cfRule type="expression" dxfId="107" priority="13">
      <formula>$F$6="Locatieontwikkeling"</formula>
    </cfRule>
  </conditionalFormatting>
  <conditionalFormatting sqref="D38">
    <cfRule type="expression" dxfId="106" priority="12">
      <formula>$F$6="Gebiedsontwikkeling"</formula>
    </cfRule>
  </conditionalFormatting>
  <conditionalFormatting sqref="D39">
    <cfRule type="containsText" dxfId="105" priority="138" operator="containsText" text="Ontwikkelkader/nota van uitgangspunten">
      <formula>NOT(ISERROR(SEARCH("Ontwikkelkader/nota van uitgangspunten",D39)))</formula>
    </cfRule>
    <cfRule type="expression" dxfId="104" priority="11">
      <formula>$F$6="Locatieontwikkeling"</formula>
    </cfRule>
  </conditionalFormatting>
  <conditionalFormatting sqref="D42">
    <cfRule type="containsText" dxfId="103" priority="137" operator="containsText" text="Participatieproces">
      <formula>NOT(ISERROR(SEARCH("Participatieproces",D42)))</formula>
    </cfRule>
  </conditionalFormatting>
  <conditionalFormatting sqref="D43">
    <cfRule type="notContainsText" dxfId="102" priority="258" operator="notContains" text=" ">
      <formula>ISERROR(SEARCH(" ",D43))</formula>
    </cfRule>
  </conditionalFormatting>
  <conditionalFormatting sqref="D44:D45">
    <cfRule type="containsText" dxfId="101" priority="136" operator="containsText" text="Voltooiing Stap 2 - Kaders">
      <formula>NOT(ISERROR(SEARCH("Voltooiing Stap 2 - Kaders",D44)))</formula>
    </cfRule>
  </conditionalFormatting>
  <conditionalFormatting sqref="D49">
    <cfRule type="containsText" dxfId="100" priority="250" operator="containsText" text="Schets ontwerp">
      <formula>NOT(ISERROR(SEARCH("Schets ontwerp",D49)))</formula>
    </cfRule>
    <cfRule type="containsText" dxfId="99" priority="252" operator="containsText" text="Intentieovereenkomst met principeverzoek">
      <formula>NOT(ISERROR(SEARCH("Intentieovereenkomst met principeverzoek",D49)))</formula>
    </cfRule>
  </conditionalFormatting>
  <conditionalFormatting sqref="D52">
    <cfRule type="containsText" dxfId="98" priority="249" operator="containsText" text="Opzet gebieds- en vastgoedexploitatie">
      <formula>NOT(ISERROR(SEARCH("Opzet gebieds- en vastgoedexploitatie",D52)))</formula>
    </cfRule>
  </conditionalFormatting>
  <conditionalFormatting sqref="D55">
    <cfRule type="containsText" dxfId="97" priority="248" operator="containsText" text="Voorlopig ontwerp en bijstellen gebieds- en vastgoedexploitatie">
      <formula>NOT(ISERROR(SEARCH("Voorlopig ontwerp en bijstellen gebieds- en vastgoedexploitatie",D55)))</formula>
    </cfRule>
  </conditionalFormatting>
  <conditionalFormatting sqref="D58">
    <cfRule type="containsText" dxfId="96" priority="247" operator="containsText" text="Participatieproces">
      <formula>NOT(ISERROR(SEARCH("Participatieproces",D58)))</formula>
    </cfRule>
  </conditionalFormatting>
  <conditionalFormatting sqref="D62">
    <cfRule type="containsText" dxfId="95" priority="246" operator="containsText" text="Voltooiing Stap 3 - Rekenen en tekenen">
      <formula>NOT(ISERROR(SEARCH("Voltooiing Stap 3 - Rekenen en tekenen",D62)))</formula>
    </cfRule>
  </conditionalFormatting>
  <conditionalFormatting sqref="D66">
    <cfRule type="containsText" dxfId="94" priority="226" operator="containsText" text="Ontwikkelbesluit">
      <formula>NOT(ISERROR(SEARCH("Ontwikkelbesluit",D66)))</formula>
    </cfRule>
  </conditionalFormatting>
  <conditionalFormatting sqref="D68">
    <cfRule type="containsText" dxfId="93" priority="225" operator="containsText" text="Afspraken maken kostenverhaal">
      <formula>NOT(ISERROR(SEARCH("Afspraken maken kostenverhaal",D68)))</formula>
    </cfRule>
  </conditionalFormatting>
  <conditionalFormatting sqref="D70">
    <cfRule type="containsText" dxfId="92" priority="223" operator="containsText" text="Zo nee,">
      <formula>NOT(ISERROR(SEARCH("Zo nee,",D70)))</formula>
    </cfRule>
  </conditionalFormatting>
  <conditionalFormatting sqref="D73">
    <cfRule type="containsText" dxfId="91" priority="222" operator="containsText" text="Zo ja">
      <formula>NOT(ISERROR(SEARCH("Zo ja",D73)))</formula>
    </cfRule>
  </conditionalFormatting>
  <conditionalFormatting sqref="D74">
    <cfRule type="containsText" dxfId="90" priority="224" operator="containsText" text="Voltooiing Stap 4 - Businesscase">
      <formula>NOT(ISERROR(SEARCH("Voltooiing Stap 4 - Businesscase",D74)))</formula>
    </cfRule>
  </conditionalFormatting>
  <conditionalFormatting sqref="D78">
    <cfRule type="containsText" dxfId="89" priority="217" operator="containsText" text="Samenwerkingsovereenkomst">
      <formula>NOT(ISERROR(SEARCH("Samenwerkingsovereenkomst",D78)))</formula>
    </cfRule>
    <cfRule type="containsText" dxfId="88" priority="215" operator="containsText" text="Anterieure overeenkomst">
      <formula>NOT(ISERROR(SEARCH("Anterieure overeenkomst",D78)))</formula>
    </cfRule>
  </conditionalFormatting>
  <conditionalFormatting sqref="D80:D81">
    <cfRule type="containsText" dxfId="87" priority="24" operator="containsText" text="Zo nee,">
      <formula>NOT(ISERROR(SEARCH("Zo nee,",D80)))</formula>
    </cfRule>
  </conditionalFormatting>
  <conditionalFormatting sqref="D82">
    <cfRule type="containsText" dxfId="86" priority="216" operator="containsText" text="Voltooiing Stap 5 - Contractueel">
      <formula>NOT(ISERROR(SEARCH("Voltooiing Stap 5 - Contractueel",D82)))</formula>
    </cfRule>
  </conditionalFormatting>
  <conditionalFormatting sqref="D86">
    <cfRule type="containsText" dxfId="85" priority="207" operator="containsText" text="Voorbereiding BOPA">
      <formula>NOT(ISERROR(SEARCH("Voorbereiding BOPA",D86)))</formula>
    </cfRule>
    <cfRule type="containsText" dxfId="84" priority="205" operator="containsText" text="Voorbereiding ontwerp wijziging omgevingspla">
      <formula>NOT(ISERROR(SEARCH("Voorbereiding ontwerp wijziging omgevingspla",D86)))</formula>
    </cfRule>
  </conditionalFormatting>
  <conditionalFormatting sqref="D95">
    <cfRule type="containsText" dxfId="83" priority="208" operator="containsText" text="Procedure BOPA">
      <formula>NOT(ISERROR(SEARCH("Procedure BOPA",D95)))</formula>
    </cfRule>
    <cfRule type="containsText" dxfId="82" priority="206" operator="containsText" text="Procedure wijziging omgevingsplan">
      <formula>NOT(ISERROR(SEARCH("Procedure wijziging omgevingsplan",D95)))</formula>
    </cfRule>
  </conditionalFormatting>
  <conditionalFormatting sqref="D98">
    <cfRule type="containsText" dxfId="81" priority="209" operator="containsText" text="Voltooiing Stap 6 - Ruimtelijke procedure">
      <formula>NOT(ISERROR(SEARCH("Voltooiing Stap 6 - Ruimtelijke procedure",D98)))</formula>
    </cfRule>
  </conditionalFormatting>
  <conditionalFormatting sqref="D102">
    <cfRule type="containsText" dxfId="80" priority="202" operator="containsText" text="Voorbereiding ontwerp wijziging omgevingspla">
      <formula>NOT(ISERROR(SEARCH("Voorbereiding ontwerp wijziging omgevingspla",D102)))</formula>
    </cfRule>
    <cfRule type="containsText" dxfId="79" priority="203" operator="containsText" text="Voorbereiding BOPA">
      <formula>NOT(ISERROR(SEARCH("Voorbereiding BOPA",D102)))</formula>
    </cfRule>
    <cfRule type="containsText" dxfId="78" priority="191" operator="containsText" text="Realisatiebesluit">
      <formula>NOT(ISERROR(SEARCH("Realisatiebesluit",D102)))</formula>
    </cfRule>
  </conditionalFormatting>
  <conditionalFormatting sqref="D104">
    <cfRule type="containsText" dxfId="77" priority="190" operator="containsText" text="Contacteren/aanbesteden">
      <formula>NOT(ISERROR(SEARCH("Contacteren/aanbesteden",D104)))</formula>
    </cfRule>
  </conditionalFormatting>
  <conditionalFormatting sqref="D106">
    <cfRule type="containsText" dxfId="76" priority="193" operator="containsText" text="Ja">
      <formula>NOT(ISERROR(SEARCH("Ja",D106)))</formula>
    </cfRule>
    <cfRule type="containsText" dxfId="75" priority="196" operator="containsText" text="Zo nee,">
      <formula>NOT(ISERROR(SEARCH("Zo nee,",D106)))</formula>
    </cfRule>
  </conditionalFormatting>
  <conditionalFormatting sqref="D108">
    <cfRule type="containsText" dxfId="74" priority="189" operator="containsText" text="Voltooiing Stap 7 - Bouwende partij">
      <formula>NOT(ISERROR(SEARCH("Voltooiing Stap 7 - Bouwende partij",D108)))</formula>
    </cfRule>
  </conditionalFormatting>
  <conditionalFormatting sqref="D112">
    <cfRule type="containsText" dxfId="73" priority="188" operator="containsText" text="Voorbereiding BOPA">
      <formula>NOT(ISERROR(SEARCH("Voorbereiding BOPA",D112)))</formula>
    </cfRule>
    <cfRule type="containsText" dxfId="72" priority="187" operator="containsText" text="Voorbereiding ontwerp wijziging omgevingspla">
      <formula>NOT(ISERROR(SEARCH("Voorbereiding ontwerp wijziging omgevingspla",D112)))</formula>
    </cfRule>
    <cfRule type="containsText" dxfId="71" priority="186" operator="containsText" text="Realisatiebesluit">
      <formula>NOT(ISERROR(SEARCH("Realisatiebesluit",D112)))</formula>
    </cfRule>
    <cfRule type="containsText" dxfId="70" priority="181" operator="containsText" text="Aanvraag omgevingsvergunning">
      <formula>NOT(ISERROR(SEARCH("Aanvraag omgevingsvergunning",D112)))</formula>
    </cfRule>
  </conditionalFormatting>
  <conditionalFormatting sqref="D114">
    <cfRule type="containsText" dxfId="69" priority="23" operator="containsText" text="Zo nee,">
      <formula>NOT(ISERROR(SEARCH("Zo nee,",D114)))</formula>
    </cfRule>
    <cfRule type="containsText" dxfId="68" priority="22" operator="containsText" text="Ja">
      <formula>NOT(ISERROR(SEARCH("Ja",D114)))</formula>
    </cfRule>
  </conditionalFormatting>
  <conditionalFormatting sqref="D115">
    <cfRule type="containsText" dxfId="67" priority="180" operator="containsText" text="Beoordeling omgevingsvergunning">
      <formula>NOT(ISERROR(SEARCH("Beoordeling omgevingsvergunning",D115)))</formula>
    </cfRule>
  </conditionalFormatting>
  <conditionalFormatting sqref="D117">
    <cfRule type="containsText" dxfId="66" priority="182" operator="containsText" text="Zo ja">
      <formula>NOT(ISERROR(SEARCH("Zo ja",D117)))</formula>
    </cfRule>
  </conditionalFormatting>
  <conditionalFormatting sqref="D118">
    <cfRule type="containsText" dxfId="65" priority="179" operator="containsText" text="Voltooiing Stap 8 - Omgevingsvergunning">
      <formula>NOT(ISERROR(SEARCH("Voltooiing Stap 8 - Omgevingsvergunning",D118)))</formula>
    </cfRule>
  </conditionalFormatting>
  <conditionalFormatting sqref="D122">
    <cfRule type="containsText" dxfId="64" priority="166" operator="containsText" text="Realisatiebesluit">
      <formula>NOT(ISERROR(SEARCH("Realisatiebesluit",D122)))</formula>
    </cfRule>
    <cfRule type="containsText" dxfId="63" priority="167" operator="containsText" text="Voorbereiding ontwerp wijziging omgevingspla">
      <formula>NOT(ISERROR(SEARCH("Voorbereiding ontwerp wijziging omgevingspla",D122)))</formula>
    </cfRule>
    <cfRule type="containsText" dxfId="62" priority="152" operator="containsText" text="Planning">
      <formula>NOT(ISERROR(SEARCH("Planning",D122)))</formula>
    </cfRule>
    <cfRule type="containsText" dxfId="61" priority="165" operator="containsText" text="Aanvraag omgevingsvergunning">
      <formula>NOT(ISERROR(SEARCH("Aanvraag omgevingsvergunning",D122)))</formula>
    </cfRule>
    <cfRule type="containsText" dxfId="60" priority="168" operator="containsText" text="Voorbereiding BOPA">
      <formula>NOT(ISERROR(SEARCH("Voorbereiding BOPA",D122)))</formula>
    </cfRule>
  </conditionalFormatting>
  <conditionalFormatting sqref="D126">
    <cfRule type="containsText" dxfId="59" priority="151" operator="containsText" text="Realisatie">
      <formula>NOT(ISERROR(SEARCH("Realisatie",D126)))</formula>
    </cfRule>
  </conditionalFormatting>
  <conditionalFormatting sqref="D129">
    <cfRule type="containsText" dxfId="58" priority="150" operator="containsText" text="Evaluatie">
      <formula>NOT(ISERROR(SEARCH("Evaluatie",D129)))</formula>
    </cfRule>
  </conditionalFormatting>
  <conditionalFormatting sqref="D132">
    <cfRule type="containsText" dxfId="57" priority="149" operator="containsText" text="Voltooiing Stap 9 - Realisatie/planning">
      <formula>NOT(ISERROR(SEARCH("Voltooiing Stap 9 - Realisatie/planning",D132)))</formula>
    </cfRule>
  </conditionalFormatting>
  <conditionalFormatting sqref="F15:F24 F121:F133 F65:F75 F85:F99 F101:F109 F111:F119">
    <cfRule type="expression" dxfId="56" priority="57">
      <formula>$F$6=""</formula>
    </cfRule>
  </conditionalFormatting>
  <conditionalFormatting sqref="F16:F24">
    <cfRule type="containsText" dxfId="55" priority="148" operator="containsText" text="Prestatieafspraken">
      <formula>NOT(ISERROR(SEARCH("Prestatieafspraken",F16)))</formula>
    </cfRule>
  </conditionalFormatting>
  <conditionalFormatting sqref="F18 F29 F54">
    <cfRule type="expression" dxfId="54" priority="1">
      <formula>$F$6=""</formula>
    </cfRule>
  </conditionalFormatting>
  <conditionalFormatting sqref="F18">
    <cfRule type="expression" dxfId="53" priority="43">
      <formula>$F$17="Ja"</formula>
    </cfRule>
  </conditionalFormatting>
  <conditionalFormatting sqref="F26:F46">
    <cfRule type="expression" dxfId="52" priority="41">
      <formula>$F$6=""</formula>
    </cfRule>
  </conditionalFormatting>
  <conditionalFormatting sqref="F28 F30:F33 F35:F36 F38 F40:F41 F43 F45">
    <cfRule type="expression" dxfId="51" priority="60">
      <formula>$F$6="Locatieontwikkeling"</formula>
    </cfRule>
  </conditionalFormatting>
  <conditionalFormatting sqref="F28:F44">
    <cfRule type="containsText" dxfId="50" priority="42" operator="containsText" text="Prestatieafspraken">
      <formula>NOT(ISERROR(SEARCH("Prestatieafspraken",F28)))</formula>
    </cfRule>
  </conditionalFormatting>
  <conditionalFormatting sqref="F29">
    <cfRule type="expression" dxfId="49" priority="40">
      <formula>$F$28="Ja"</formula>
    </cfRule>
  </conditionalFormatting>
  <conditionalFormatting sqref="F34">
    <cfRule type="expression" dxfId="48" priority="8">
      <formula>$F$6="Gebiedsontwikkeling"</formula>
    </cfRule>
  </conditionalFormatting>
  <conditionalFormatting sqref="F35">
    <cfRule type="expression" dxfId="47" priority="6">
      <formula>$F$6="Gebiedsontwikkeling"</formula>
    </cfRule>
  </conditionalFormatting>
  <conditionalFormatting sqref="F36:F37 F39 F41:F42 F44 F46">
    <cfRule type="expression" dxfId="46" priority="5">
      <formula>$F$6="Gebiedsontwikkeling"</formula>
    </cfRule>
  </conditionalFormatting>
  <conditionalFormatting sqref="F39">
    <cfRule type="expression" dxfId="45" priority="16">
      <formula>$F$38="Ja"</formula>
    </cfRule>
  </conditionalFormatting>
  <conditionalFormatting sqref="F40">
    <cfRule type="expression" dxfId="44" priority="4">
      <formula>$F$39="Ja"</formula>
    </cfRule>
  </conditionalFormatting>
  <conditionalFormatting sqref="F46">
    <cfRule type="containsText" dxfId="43" priority="122" operator="containsText" text="Prestatieafspraken">
      <formula>NOT(ISERROR(SEARCH("Prestatieafspraken",F46)))</formula>
    </cfRule>
  </conditionalFormatting>
  <conditionalFormatting sqref="F48:F63">
    <cfRule type="expression" dxfId="42" priority="55">
      <formula>$F$6=""</formula>
    </cfRule>
  </conditionalFormatting>
  <conditionalFormatting sqref="F50:F51">
    <cfRule type="containsText" dxfId="41" priority="111" operator="containsText" text="Prestatieafspraken">
      <formula>NOT(ISERROR(SEARCH("Prestatieafspraken",F50)))</formula>
    </cfRule>
  </conditionalFormatting>
  <conditionalFormatting sqref="F53:F54">
    <cfRule type="containsText" dxfId="40" priority="109" operator="containsText" text="Prestatieafspraken">
      <formula>NOT(ISERROR(SEARCH("Prestatieafspraken",F53)))</formula>
    </cfRule>
  </conditionalFormatting>
  <conditionalFormatting sqref="F54">
    <cfRule type="expression" dxfId="39" priority="34">
      <formula>$F$53="Ja"</formula>
    </cfRule>
  </conditionalFormatting>
  <conditionalFormatting sqref="F56:F57">
    <cfRule type="containsText" dxfId="38" priority="35" operator="containsText" text="Prestatieafspraken">
      <formula>NOT(ISERROR(SEARCH("Prestatieafspraken",F56)))</formula>
    </cfRule>
  </conditionalFormatting>
  <conditionalFormatting sqref="F57">
    <cfRule type="expression" dxfId="37" priority="33">
      <formula>$F$56="Ja"</formula>
    </cfRule>
  </conditionalFormatting>
  <conditionalFormatting sqref="F59:F61">
    <cfRule type="containsText" dxfId="36" priority="104" operator="containsText" text="Prestatieafspraken">
      <formula>NOT(ISERROR(SEARCH("Prestatieafspraken",F59)))</formula>
    </cfRule>
  </conditionalFormatting>
  <conditionalFormatting sqref="F67">
    <cfRule type="containsText" dxfId="35" priority="103" operator="containsText" text="Prestatieafspraken">
      <formula>NOT(ISERROR(SEARCH("Prestatieafspraken",F67)))</formula>
    </cfRule>
  </conditionalFormatting>
  <conditionalFormatting sqref="F69:F73">
    <cfRule type="containsText" dxfId="34" priority="98" operator="containsText" text="Prestatieafspraken">
      <formula>NOT(ISERROR(SEARCH("Prestatieafspraken",F69)))</formula>
    </cfRule>
  </conditionalFormatting>
  <conditionalFormatting sqref="F70">
    <cfRule type="expression" dxfId="33" priority="62">
      <formula>$F$69="Nee"</formula>
    </cfRule>
  </conditionalFormatting>
  <conditionalFormatting sqref="F73">
    <cfRule type="expression" dxfId="32" priority="63">
      <formula>$F$72="Ja"</formula>
    </cfRule>
  </conditionalFormatting>
  <conditionalFormatting sqref="F77:F83">
    <cfRule type="expression" dxfId="31" priority="54">
      <formula>$F$6=""</formula>
    </cfRule>
  </conditionalFormatting>
  <conditionalFormatting sqref="F79:F81">
    <cfRule type="containsText" dxfId="30" priority="95" operator="containsText" text="Prestatieafspraken">
      <formula>NOT(ISERROR(SEARCH("Prestatieafspraken",F79)))</formula>
    </cfRule>
  </conditionalFormatting>
  <conditionalFormatting sqref="F80">
    <cfRule type="expression" dxfId="29" priority="26">
      <formula>$F$79="Ja"</formula>
    </cfRule>
  </conditionalFormatting>
  <conditionalFormatting sqref="F81">
    <cfRule type="expression" dxfId="28" priority="25">
      <formula>$D$81&lt;&gt;""</formula>
    </cfRule>
  </conditionalFormatting>
  <conditionalFormatting sqref="F87:F88">
    <cfRule type="containsText" dxfId="27" priority="93" operator="containsText" text="Prestatieafspraken">
      <formula>NOT(ISERROR(SEARCH("Prestatieafspraken",F87)))</formula>
    </cfRule>
  </conditionalFormatting>
  <conditionalFormatting sqref="F94">
    <cfRule type="containsText" dxfId="26" priority="92" operator="containsText" text="Prestatieafspraken">
      <formula>NOT(ISERROR(SEARCH("Prestatieafspraken",F94)))</formula>
    </cfRule>
  </conditionalFormatting>
  <conditionalFormatting sqref="F96:F97">
    <cfRule type="containsText" dxfId="25" priority="90" operator="containsText" text="Prestatieafspraken">
      <formula>NOT(ISERROR(SEARCH("Prestatieafspraken",F96)))</formula>
    </cfRule>
  </conditionalFormatting>
  <conditionalFormatting sqref="F103">
    <cfRule type="containsText" dxfId="24" priority="89" operator="containsText" text="Prestatieafspraken">
      <formula>NOT(ISERROR(SEARCH("Prestatieafspraken",F103)))</formula>
    </cfRule>
  </conditionalFormatting>
  <conditionalFormatting sqref="F105:F107">
    <cfRule type="containsText" dxfId="23" priority="86" operator="containsText" text="Prestatieafspraken">
      <formula>NOT(ISERROR(SEARCH("Prestatieafspraken",F105)))</formula>
    </cfRule>
  </conditionalFormatting>
  <conditionalFormatting sqref="F113:F114">
    <cfRule type="containsText" dxfId="22" priority="83" operator="containsText" text="Prestatieafspraken">
      <formula>NOT(ISERROR(SEARCH("Prestatieafspraken",F113)))</formula>
    </cfRule>
  </conditionalFormatting>
  <conditionalFormatting sqref="F116:F117">
    <cfRule type="containsText" dxfId="21" priority="81" operator="containsText" text="Prestatieafspraken">
      <formula>NOT(ISERROR(SEARCH("Prestatieafspraken",F116)))</formula>
    </cfRule>
  </conditionalFormatting>
  <conditionalFormatting sqref="F117">
    <cfRule type="expression" dxfId="20" priority="64">
      <formula>$F$116="Ja"</formula>
    </cfRule>
  </conditionalFormatting>
  <conditionalFormatting sqref="F123:F125">
    <cfRule type="containsText" dxfId="19" priority="77" operator="containsText" text="Prestatieafspraken">
      <formula>NOT(ISERROR(SEARCH("Prestatieafspraken",F123)))</formula>
    </cfRule>
  </conditionalFormatting>
  <conditionalFormatting sqref="F124">
    <cfRule type="expression" dxfId="18" priority="19">
      <formula>$F$123="Ja"</formula>
    </cfRule>
  </conditionalFormatting>
  <conditionalFormatting sqref="F127:F128">
    <cfRule type="containsText" dxfId="17" priority="75" operator="containsText" text="Prestatieafspraken">
      <formula>NOT(ISERROR(SEARCH("Prestatieafspraken",F127)))</formula>
    </cfRule>
  </conditionalFormatting>
  <conditionalFormatting sqref="F130:F131">
    <cfRule type="containsText" dxfId="16" priority="73" operator="containsText" text="Prestatieafspraken">
      <formula>NOT(ISERROR(SEARCH("Prestatieafspraken",F130)))</formula>
    </cfRule>
  </conditionalFormatting>
  <conditionalFormatting sqref="I109">
    <cfRule type="expression" dxfId="15" priority="44">
      <formula>$H$109="Gelijktijdig met stap 6"</formula>
    </cfRule>
  </conditionalFormatting>
  <dataValidations count="1">
    <dataValidation allowBlank="1" showInputMessage="1" showErrorMessage="1" prompt="Vul hier een eigen inschatting in van de resterende tijdsduur per stap. Als deze inschatting wordt ingevuld pakt de totale planning automatisch de zelf ingevulde tijdsduur. Wil je de vooraf ingevuld indicatieve tijdsduur hanteren, laat deze cel dan leeg. " sqref="I13:I15 I24 I46 I63 I75 I83 I99 I109 I119 I133" xr:uid="{A39F4A12-3C60-426A-A126-4EAB1F452994}"/>
  </dataValidations>
  <pageMargins left="0.70866141732283472" right="0.70866141732283472" top="0.74803149606299213" bottom="0.74803149606299213" header="0.31496062992125984" footer="0.31496062992125984"/>
  <pageSetup paperSize="9" scale="52" orientation="landscape" verticalDpi="1200" r:id="rId1"/>
  <headerFooter>
    <oddFooter>&amp;LProces- en planningsschema woningbouwprojecten &amp;CVersie: april 2024&amp;R&amp;P van &amp;N</oddFooter>
  </headerFooter>
  <extLst>
    <ext xmlns:x14="http://schemas.microsoft.com/office/spreadsheetml/2009/9/main" uri="{78C0D931-6437-407d-A8EE-F0AAD7539E65}">
      <x14:conditionalFormattings>
        <x14:conditionalFormatting xmlns:xm="http://schemas.microsoft.com/office/excel/2006/main">
          <x14:cfRule type="expression" priority="53" id="{653A736E-C9B3-48C3-B370-48C9A4572E0B}">
            <xm:f>Data!$D$19=5</xm:f>
            <x14:dxf>
              <font>
                <color auto="1"/>
              </font>
              <fill>
                <patternFill>
                  <bgColor theme="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52" id="{0CC94639-5727-4724-A22E-CCF4FE9D77AA}">
            <xm:f>Data!$D$42=14</xm:f>
            <x14:dxf>
              <font>
                <color auto="1"/>
              </font>
              <fill>
                <patternFill>
                  <bgColor theme="5"/>
                </patternFill>
              </fill>
              <border>
                <left style="thin">
                  <color auto="1"/>
                </left>
                <right style="thin">
                  <color auto="1"/>
                </right>
                <top style="thin">
                  <color auto="1"/>
                </top>
                <bottom style="thin">
                  <color auto="1"/>
                </bottom>
                <vertical/>
                <horizontal/>
              </border>
            </x14:dxf>
          </x14:cfRule>
          <xm:sqref>I46</xm:sqref>
        </x14:conditionalFormatting>
        <x14:conditionalFormatting xmlns:xm="http://schemas.microsoft.com/office/excel/2006/main">
          <x14:cfRule type="expression" priority="51" id="{6585BA53-69A2-4E8C-B30A-5F89BD8A458A}">
            <xm:f>Data!$D$80=9</xm:f>
            <x14:dxf>
              <font>
                <color auto="1"/>
              </font>
              <fill>
                <patternFill>
                  <bgColor theme="5"/>
                </patternFill>
              </fill>
              <border>
                <left style="thin">
                  <color auto="1"/>
                </left>
                <right style="thin">
                  <color auto="1"/>
                </right>
                <top style="thin">
                  <color auto="1"/>
                </top>
                <bottom style="thin">
                  <color auto="1"/>
                </bottom>
                <vertical/>
                <horizontal/>
              </border>
            </x14:dxf>
          </x14:cfRule>
          <xm:sqref>I63</xm:sqref>
        </x14:conditionalFormatting>
        <x14:conditionalFormatting xmlns:xm="http://schemas.microsoft.com/office/excel/2006/main">
          <x14:cfRule type="expression" priority="50" id="{3B044A6F-2CBF-4F0D-BD79-7AE87D892A52}">
            <xm:f>Data!$D$92=6</xm:f>
            <x14:dxf>
              <font>
                <color auto="1"/>
              </font>
              <fill>
                <patternFill>
                  <bgColor theme="5"/>
                </patternFill>
              </fill>
              <border>
                <left style="thin">
                  <color auto="1"/>
                </left>
                <right style="thin">
                  <color auto="1"/>
                </right>
                <top style="thin">
                  <color auto="1"/>
                </top>
                <bottom style="thin">
                  <color auto="1"/>
                </bottom>
                <vertical/>
                <horizontal/>
              </border>
            </x14:dxf>
          </x14:cfRule>
          <xm:sqref>I75</xm:sqref>
        </x14:conditionalFormatting>
        <x14:conditionalFormatting xmlns:xm="http://schemas.microsoft.com/office/excel/2006/main">
          <x14:cfRule type="expression" priority="49" id="{4D47520E-C64A-4DC7-8A0D-4CC3997D000C}">
            <xm:f>Data!$D$101=3</xm:f>
            <x14:dxf>
              <font>
                <color theme="1"/>
              </font>
              <fill>
                <patternFill>
                  <bgColor theme="5"/>
                </patternFill>
              </fill>
              <border>
                <left style="thin">
                  <color auto="1"/>
                </left>
                <right style="thin">
                  <color auto="1"/>
                </right>
                <top style="thin">
                  <color auto="1"/>
                </top>
                <bottom style="thin">
                  <color auto="1"/>
                </bottom>
                <vertical/>
                <horizontal/>
              </border>
            </x14:dxf>
          </x14:cfRule>
          <xm:sqref>I83</xm:sqref>
        </x14:conditionalFormatting>
        <x14:conditionalFormatting xmlns:xm="http://schemas.microsoft.com/office/excel/2006/main">
          <x14:cfRule type="expression" priority="48" id="{EC67A15F-529C-4EAD-9D95-9BD0F6DF5967}">
            <xm:f>Data!$D$125=5</xm:f>
            <x14:dxf>
              <font>
                <color theme="1"/>
              </font>
              <fill>
                <patternFill>
                  <bgColor theme="5"/>
                </patternFill>
              </fill>
              <border>
                <left style="thin">
                  <color auto="1"/>
                </left>
                <right style="thin">
                  <color auto="1"/>
                </right>
                <top style="thin">
                  <color auto="1"/>
                </top>
                <bottom style="thin">
                  <color auto="1"/>
                </bottom>
                <vertical/>
                <horizontal/>
              </border>
            </x14:dxf>
          </x14:cfRule>
          <xm:sqref>I99</xm:sqref>
        </x14:conditionalFormatting>
        <x14:conditionalFormatting xmlns:xm="http://schemas.microsoft.com/office/excel/2006/main">
          <x14:cfRule type="expression" priority="45" id="{004A8A92-B8A8-44E3-86A4-6475343BF865}">
            <xm:f>Data!$D$150=4</xm:f>
            <x14:dxf>
              <font>
                <color auto="1"/>
              </font>
              <fill>
                <patternFill>
                  <bgColor theme="5"/>
                </patternFill>
              </fill>
              <border>
                <left style="thin">
                  <color auto="1"/>
                </left>
                <right style="thin">
                  <color auto="1"/>
                </right>
                <top style="thin">
                  <color auto="1"/>
                </top>
                <bottom style="thin">
                  <color auto="1"/>
                </bottom>
                <vertical/>
                <horizontal/>
              </border>
            </x14:dxf>
          </x14:cfRule>
          <xm:sqref>I109</xm:sqref>
        </x14:conditionalFormatting>
        <x14:conditionalFormatting xmlns:xm="http://schemas.microsoft.com/office/excel/2006/main">
          <x14:cfRule type="expression" priority="47" id="{A6DBC35F-8165-456D-89D2-930350BE4686}">
            <xm:f>Data!$D$162=4</xm:f>
            <x14:dxf>
              <font>
                <color auto="1"/>
              </font>
              <fill>
                <patternFill>
                  <bgColor theme="5"/>
                </patternFill>
              </fill>
              <border>
                <left style="thin">
                  <color auto="1"/>
                </left>
                <right style="thin">
                  <color auto="1"/>
                </right>
                <top style="thin">
                  <color auto="1"/>
                </top>
                <bottom style="thin">
                  <color auto="1"/>
                </bottom>
                <vertical/>
                <horizontal/>
              </border>
            </x14:dxf>
          </x14:cfRule>
          <xm:sqref>I119</xm:sqref>
        </x14:conditionalFormatting>
        <x14:conditionalFormatting xmlns:xm="http://schemas.microsoft.com/office/excel/2006/main">
          <x14:cfRule type="expression" priority="266" id="{9A08DEB2-B6E7-4F7D-AE29-01AAC73B8337}">
            <xm:f>Data!$D$176=7</xm:f>
            <x14:dxf>
              <font>
                <color auto="1"/>
              </font>
              <fill>
                <patternFill>
                  <bgColor theme="5"/>
                </patternFill>
              </fill>
              <border>
                <left style="thin">
                  <color auto="1"/>
                </left>
                <right style="thin">
                  <color auto="1"/>
                </right>
                <top style="thin">
                  <color auto="1"/>
                </top>
                <bottom style="thin">
                  <color auto="1"/>
                </bottom>
                <vertical/>
                <horizontal/>
              </border>
            </x14:dxf>
          </x14:cfRule>
          <xm:sqref>I133</xm:sqref>
        </x14:conditionalFormatting>
      </x14:conditionalFormattings>
    </ex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Ongeldige invoer!" error="Selecteer locatie- of gebiedsontwikkeling" promptTitle="Locatie- of gebiedsontwikkeling" prompt="- Onder een locatieontwikkeling worden ontwikkelingen verstaan waarbij de woningcorporatie de enige ontwikkelende partij is. _x000a_- Onder een gebiedsontwikkeling worden ontwikkelingen verstaan waarbij meerdere ontwikkelende partijen betrokken zijn. _x000a_" xr:uid="{04CD7317-047C-4EF7-B0B9-38C1468B8B61}">
          <x14:formula1>
            <xm:f>Data!$E$3:$F$3</xm:f>
          </x14:formula1>
          <xm:sqref>F6</xm:sqref>
        </x14:dataValidation>
        <x14:dataValidation type="list" errorStyle="warning" allowBlank="1" showInputMessage="1" showErrorMessage="1" errorTitle="BOPA of wijziging omgevingsplan" error="Selecteer BOPA of wijziging omgevingsplan" promptTitle="BOPA of wijziging omgevingsplan" prompt="Welke procedure wordt gevolgd om de ontwikkeling mogelijk te maken?" xr:uid="{33720C01-463D-49A0-B599-B677760429BE}">
          <x14:formula1>
            <xm:f>Data!$E$4:$F$4</xm:f>
          </x14:formula1>
          <xm:sqref>F7</xm:sqref>
        </x14:dataValidation>
        <x14:dataValidation type="list" errorStyle="warning" allowBlank="1" showInputMessage="1" showErrorMessage="1" errorTitle="Moment van bouwvoorbereiding" error="Selecteer een moment van bouwvoorbereiding" promptTitle="Moment van bouwvoorbereiding" prompt="Vindt de bouwvoorbereiding gelijktijdig plaats met de ruimtelijke procedure of vindt de bouwvoorbereiding chronologisch plaats?" xr:uid="{5CEE5EDB-4C0D-49E0-8FCD-C1F1093DEB73}">
          <x14:formula1>
            <xm:f>Data!$E$5:$F$5</xm:f>
          </x14:formula1>
          <xm:sqref>F8</xm:sqref>
        </x14:dataValidation>
        <x14:dataValidation type="list" allowBlank="1" showInputMessage="1" showErrorMessage="1" xr:uid="{096630BB-AB5A-4828-AF5A-505757C33EF0}">
          <x14:formula1>
            <xm:f>Data!$E$9:$F$9</xm:f>
          </x14:formula1>
          <xm:sqref>F17:F18 F20:F22 F28:F44 F127:F128 F53:F54 F56:F57 F59:F61 F67 F69:F73 F79:F81 F87:F88 F94 F96:F97 F103 F105:F107 F113:F114 F116:F117 F130:F131 F123:F125 F51</xm:sqref>
        </x14:dataValidation>
        <x14:dataValidation type="list" allowBlank="1" showInputMessage="1" showErrorMessage="1" prompt="Onder een schets ontwerp wordt een eerste schets of model verstaan waardoor een indicatie wordt gegeven van het toekomstig ruimtegebruik." xr:uid="{D60F159D-B2C8-4596-A5DC-D4910D3C98C1}">
          <x14:formula1>
            <xm:f>Data!$E$9:$F$9</xm:f>
          </x14:formula1>
          <xm:sqref>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F58C-5669-4824-A904-AE8539E200E2}">
  <dimension ref="A2:O187"/>
  <sheetViews>
    <sheetView topLeftCell="A14" workbookViewId="0">
      <selection activeCell="E29" sqref="E29"/>
    </sheetView>
  </sheetViews>
  <sheetFormatPr defaultRowHeight="14.4" x14ac:dyDescent="0.3"/>
  <cols>
    <col min="2" max="2" width="2.5546875" bestFit="1" customWidth="1"/>
    <col min="3" max="3" width="113" bestFit="1" customWidth="1"/>
    <col min="4" max="4" width="10.33203125" bestFit="1" customWidth="1"/>
    <col min="5" max="5" width="23" bestFit="1" customWidth="1"/>
    <col min="6" max="6" width="22.6640625" bestFit="1" customWidth="1"/>
    <col min="7" max="7" width="10" bestFit="1" customWidth="1"/>
    <col min="9" max="9" width="18.33203125" bestFit="1" customWidth="1"/>
    <col min="10" max="10" width="12.5546875" bestFit="1" customWidth="1"/>
    <col min="11" max="11" width="10.6640625" customWidth="1"/>
    <col min="12" max="12" width="9.5546875" customWidth="1"/>
  </cols>
  <sheetData>
    <row r="2" spans="2:15" x14ac:dyDescent="0.3">
      <c r="C2" s="1" t="s">
        <v>4</v>
      </c>
      <c r="E2" s="1" t="s">
        <v>14</v>
      </c>
      <c r="I2" s="1"/>
    </row>
    <row r="3" spans="2:15" x14ac:dyDescent="0.3">
      <c r="B3" t="s">
        <v>28</v>
      </c>
      <c r="C3" t="s">
        <v>5</v>
      </c>
      <c r="E3" t="s">
        <v>8</v>
      </c>
      <c r="F3" t="s">
        <v>9</v>
      </c>
      <c r="I3" s="27"/>
    </row>
    <row r="4" spans="2:15" x14ac:dyDescent="0.3">
      <c r="B4" t="s">
        <v>29</v>
      </c>
      <c r="C4" t="s">
        <v>6</v>
      </c>
      <c r="E4" t="s">
        <v>10</v>
      </c>
      <c r="F4" t="s">
        <v>11</v>
      </c>
    </row>
    <row r="5" spans="2:15" x14ac:dyDescent="0.3">
      <c r="B5" t="s">
        <v>30</v>
      </c>
      <c r="C5" t="s">
        <v>7</v>
      </c>
      <c r="E5" t="s">
        <v>12</v>
      </c>
      <c r="F5" t="s">
        <v>13</v>
      </c>
    </row>
    <row r="8" spans="2:15" x14ac:dyDescent="0.3">
      <c r="C8" s="1" t="s">
        <v>15</v>
      </c>
      <c r="E8" s="1" t="s">
        <v>14</v>
      </c>
    </row>
    <row r="9" spans="2:15" ht="15" thickBot="1" x14ac:dyDescent="0.35">
      <c r="E9" t="s">
        <v>2</v>
      </c>
      <c r="F9" t="s">
        <v>3</v>
      </c>
    </row>
    <row r="10" spans="2:15" x14ac:dyDescent="0.3">
      <c r="B10" s="5"/>
      <c r="C10" s="6" t="s">
        <v>16</v>
      </c>
      <c r="E10" s="1"/>
      <c r="F10" s="1"/>
      <c r="G10" s="1"/>
      <c r="H10" s="1"/>
    </row>
    <row r="11" spans="2:15" ht="43.2" x14ac:dyDescent="0.3">
      <c r="B11" s="8" t="str">
        <f>TEXT(0," ")</f>
        <v xml:space="preserve"> </v>
      </c>
      <c r="C11" s="7" t="s">
        <v>34</v>
      </c>
      <c r="D11" s="21" t="s">
        <v>147</v>
      </c>
      <c r="E11" s="1" t="s">
        <v>128</v>
      </c>
      <c r="F11" s="1" t="s">
        <v>131</v>
      </c>
      <c r="G11" s="1" t="s">
        <v>130</v>
      </c>
      <c r="I11" s="1" t="s">
        <v>132</v>
      </c>
      <c r="K11" s="21" t="s">
        <v>133</v>
      </c>
      <c r="L11" s="21" t="s">
        <v>0</v>
      </c>
      <c r="M11" s="1" t="s">
        <v>134</v>
      </c>
      <c r="O11" t="s">
        <v>161</v>
      </c>
    </row>
    <row r="12" spans="2:15" x14ac:dyDescent="0.3">
      <c r="B12" s="8" t="s">
        <v>28</v>
      </c>
      <c r="C12" s="9" t="s">
        <v>17</v>
      </c>
      <c r="D12">
        <f>IF(OR(E12="Ja",E12="Nee"),1,0)</f>
        <v>0</v>
      </c>
      <c r="E12">
        <f>Invulblad!F17</f>
        <v>0</v>
      </c>
      <c r="F12">
        <f>IF(E12="Ja",0,1)</f>
        <v>1</v>
      </c>
    </row>
    <row r="13" spans="2:15" x14ac:dyDescent="0.3">
      <c r="B13" s="13" t="s">
        <v>70</v>
      </c>
      <c r="C13" s="20" t="s">
        <v>148</v>
      </c>
      <c r="D13">
        <f>IF(OR(E13="Ja",E13="Nee"),1,0)</f>
        <v>0</v>
      </c>
      <c r="E13" t="str">
        <f>IF(Invulblad!F17="Ja",Invulblad!F18,"")</f>
        <v/>
      </c>
      <c r="F13" t="str">
        <f>IF(E12="Ja",IF(E13="Ja",0,1),"")</f>
        <v/>
      </c>
    </row>
    <row r="14" spans="2:15" x14ac:dyDescent="0.3">
      <c r="B14" s="8" t="str">
        <f>TEXT(0," ")</f>
        <v xml:space="preserve"> </v>
      </c>
      <c r="C14" s="7" t="s">
        <v>35</v>
      </c>
    </row>
    <row r="15" spans="2:15" x14ac:dyDescent="0.3">
      <c r="B15" s="8" t="s">
        <v>28</v>
      </c>
      <c r="C15" s="9" t="s">
        <v>18</v>
      </c>
      <c r="D15">
        <f t="shared" ref="D15:D17" si="0">IF(OR(E15="Ja",E15="Nee"),1,0)</f>
        <v>0</v>
      </c>
      <c r="E15">
        <f>Invulblad!F20</f>
        <v>0</v>
      </c>
      <c r="F15">
        <f>IF(E15="Ja",0,1)</f>
        <v>1</v>
      </c>
    </row>
    <row r="16" spans="2:15" x14ac:dyDescent="0.3">
      <c r="B16" s="8" t="s">
        <v>29</v>
      </c>
      <c r="C16" s="9" t="s">
        <v>19</v>
      </c>
      <c r="D16">
        <f t="shared" si="0"/>
        <v>0</v>
      </c>
      <c r="E16">
        <f>Invulblad!F21</f>
        <v>0</v>
      </c>
      <c r="F16">
        <f>IF(E16="Ja",0,1)</f>
        <v>1</v>
      </c>
    </row>
    <row r="17" spans="1:9" x14ac:dyDescent="0.3">
      <c r="B17" s="8" t="s">
        <v>30</v>
      </c>
      <c r="C17" s="9" t="s">
        <v>176</v>
      </c>
      <c r="D17">
        <f t="shared" si="0"/>
        <v>0</v>
      </c>
      <c r="E17">
        <f>Invulblad!F22</f>
        <v>0</v>
      </c>
      <c r="F17">
        <f>IF(E17="Ja",0,1)</f>
        <v>1</v>
      </c>
    </row>
    <row r="18" spans="1:9" x14ac:dyDescent="0.3">
      <c r="B18" s="8" t="str">
        <f>TEXT(0," ")</f>
        <v xml:space="preserve"> </v>
      </c>
      <c r="C18" s="7" t="s">
        <v>21</v>
      </c>
      <c r="D18">
        <f>IF(E12="Ja",0,1)</f>
        <v>1</v>
      </c>
      <c r="E18" s="3" t="s">
        <v>142</v>
      </c>
      <c r="F18" s="24">
        <f>SUM(F12:F17)</f>
        <v>4</v>
      </c>
      <c r="G18" s="24">
        <f>COUNT(F12:F17)</f>
        <v>4</v>
      </c>
      <c r="H18" s="25"/>
      <c r="I18" s="26">
        <f>F18/G18</f>
        <v>1</v>
      </c>
    </row>
    <row r="19" spans="1:9" ht="15" thickBot="1" x14ac:dyDescent="0.35">
      <c r="B19" s="11" t="str">
        <f>TEXT(0," ")</f>
        <v xml:space="preserve"> </v>
      </c>
      <c r="C19" s="10" t="s">
        <v>20</v>
      </c>
      <c r="D19" s="1">
        <f>SUM(D12:D18)</f>
        <v>1</v>
      </c>
    </row>
    <row r="20" spans="1:9" ht="15" thickBot="1" x14ac:dyDescent="0.35"/>
    <row r="21" spans="1:9" x14ac:dyDescent="0.3">
      <c r="A21" s="4" t="s">
        <v>23</v>
      </c>
      <c r="B21" s="5"/>
      <c r="C21" s="6" t="s">
        <v>22</v>
      </c>
    </row>
    <row r="22" spans="1:9" x14ac:dyDescent="0.3">
      <c r="B22" s="8" t="str">
        <f>TEXT(0," ")</f>
        <v xml:space="preserve"> </v>
      </c>
      <c r="C22" s="7" t="s">
        <v>179</v>
      </c>
    </row>
    <row r="23" spans="1:9" x14ac:dyDescent="0.3">
      <c r="B23" s="8" t="s">
        <v>28</v>
      </c>
      <c r="C23" s="22" t="s">
        <v>141</v>
      </c>
      <c r="D23">
        <f t="shared" ref="D23:D29" si="1">IF(OR(E23="Ja",E23="Nee"),1,0)</f>
        <v>0</v>
      </c>
      <c r="E23" t="str">
        <f>IF(Invulblad!$F$6="Gebiedsontwikkeling",Invulblad!F28,"")</f>
        <v/>
      </c>
      <c r="F23" t="str">
        <f>IF(Invulblad!$F$6="Gebiedsontwikkeling",IF(E23="Nee",0,1),"")</f>
        <v/>
      </c>
    </row>
    <row r="24" spans="1:9" x14ac:dyDescent="0.3">
      <c r="B24" s="13" t="s">
        <v>70</v>
      </c>
      <c r="C24" s="29" t="s">
        <v>140</v>
      </c>
      <c r="D24">
        <f t="shared" si="1"/>
        <v>0</v>
      </c>
      <c r="E24" t="str">
        <f>IF(Invulblad!$F$6="Gebiedsontwikkeling",IF(Invulblad!F28="Ja",Invulblad!F29,""),"")</f>
        <v/>
      </c>
      <c r="F24" t="str">
        <f>IF(E34="Ja",(IF(Invulblad!$F$6="Gebiedsontwikkeling",IF(E24="Ja",0,1),"")),"")</f>
        <v/>
      </c>
    </row>
    <row r="25" spans="1:9" x14ac:dyDescent="0.3">
      <c r="B25" s="8" t="s">
        <v>29</v>
      </c>
      <c r="C25" s="9" t="s">
        <v>36</v>
      </c>
      <c r="D25">
        <f t="shared" si="1"/>
        <v>0</v>
      </c>
      <c r="E25" t="str">
        <f>IF(Invulblad!$F$6="Gebiedsontwikkeling",Invulblad!F30,"")</f>
        <v/>
      </c>
      <c r="F25" t="str">
        <f>IF(Invulblad!$F$6="Gebiedsontwikkeling",IF(E25="Nee",0,1),"")</f>
        <v/>
      </c>
    </row>
    <row r="26" spans="1:9" x14ac:dyDescent="0.3">
      <c r="B26" s="12" t="s">
        <v>30</v>
      </c>
      <c r="C26" s="9" t="s">
        <v>37</v>
      </c>
      <c r="D26">
        <f t="shared" si="1"/>
        <v>0</v>
      </c>
      <c r="E26" t="str">
        <f>IF(Invulblad!$F$6="Gebiedsontwikkeling",Invulblad!F31,"")</f>
        <v/>
      </c>
      <c r="F26" t="str">
        <f>IF(Invulblad!$F$6="Gebiedsontwikkeling",IF(E26="Ja",0,1),"")</f>
        <v/>
      </c>
    </row>
    <row r="27" spans="1:9" x14ac:dyDescent="0.3">
      <c r="B27" s="8" t="s">
        <v>31</v>
      </c>
      <c r="C27" s="9" t="s">
        <v>38</v>
      </c>
      <c r="D27">
        <f t="shared" si="1"/>
        <v>0</v>
      </c>
      <c r="E27" t="str">
        <f>IF(Invulblad!$F$6="Gebiedsontwikkeling",Invulblad!F32,"")</f>
        <v/>
      </c>
      <c r="F27" t="str">
        <f>IF(Invulblad!$F$6="Gebiedsontwikkeling",IF(E27="Ja",0,1),"")</f>
        <v/>
      </c>
    </row>
    <row r="28" spans="1:9" x14ac:dyDescent="0.3">
      <c r="B28" s="8" t="s">
        <v>32</v>
      </c>
      <c r="C28" s="9" t="s">
        <v>39</v>
      </c>
      <c r="D28">
        <f t="shared" si="1"/>
        <v>0</v>
      </c>
      <c r="E28" t="str">
        <f>IF(Invulblad!$F$6="Gebiedsontwikkeling",Invulblad!F33,"")</f>
        <v/>
      </c>
      <c r="F28" t="str">
        <f>IF(Invulblad!$F$6="Gebiedsontwikkeling",IF(E28="Ja",0,1),"")</f>
        <v/>
      </c>
    </row>
    <row r="29" spans="1:9" x14ac:dyDescent="0.3">
      <c r="B29" s="8" t="s">
        <v>33</v>
      </c>
      <c r="C29" s="9" t="s">
        <v>40</v>
      </c>
      <c r="D29">
        <f t="shared" si="1"/>
        <v>0</v>
      </c>
      <c r="E29" t="str">
        <f>IF(Invulblad!$F$6="Gebiedsontwikkeling",Invulblad!F34,"")</f>
        <v/>
      </c>
      <c r="F29" t="str">
        <f>IF(Invulblad!$F$6="Gebiedsontwikkeling",IF(E29="Ja",0,1),"")</f>
        <v/>
      </c>
    </row>
    <row r="30" spans="1:9" x14ac:dyDescent="0.3">
      <c r="B30" s="8" t="str">
        <f>TEXT(0," ")</f>
        <v xml:space="preserve"> </v>
      </c>
      <c r="C30" s="7" t="s">
        <v>180</v>
      </c>
    </row>
    <row r="31" spans="1:9" x14ac:dyDescent="0.3">
      <c r="B31" s="8" t="s">
        <v>28</v>
      </c>
      <c r="C31" s="9" t="s">
        <v>41</v>
      </c>
      <c r="D31">
        <f>IF(OR(E31="Ja",E31="Nee"),1,0)</f>
        <v>0</v>
      </c>
      <c r="E31" t="str">
        <f>IF(Invulblad!$F$6="Gebiedsontwikkeling",Invulblad!F36,"")</f>
        <v/>
      </c>
      <c r="F31" t="str">
        <f>IF(Invulblad!$F$6="Gebiedsontwikkeling",IF(E31="Ja",0,1),"")</f>
        <v/>
      </c>
    </row>
    <row r="32" spans="1:9" x14ac:dyDescent="0.3">
      <c r="B32" s="8" t="s">
        <v>29</v>
      </c>
      <c r="C32" s="9" t="s">
        <v>42</v>
      </c>
      <c r="D32">
        <f>IF(OR(E32="Ja",E32="Nee"),1,0)</f>
        <v>0</v>
      </c>
      <c r="E32" t="str">
        <f>IF(Invulblad!$F$6="Gebiedsontwikkeling",Invulblad!F37,"")</f>
        <v/>
      </c>
      <c r="F32" t="str">
        <f>IF(Invulblad!$F$6="Gebiedsontwikkeling",IF(E32="Ja",0,1),"")</f>
        <v/>
      </c>
    </row>
    <row r="33" spans="1:15" x14ac:dyDescent="0.3">
      <c r="B33" s="8" t="str">
        <f>TEXT(0," ")</f>
        <v xml:space="preserve"> </v>
      </c>
      <c r="C33" s="7" t="s">
        <v>181</v>
      </c>
    </row>
    <row r="34" spans="1:15" x14ac:dyDescent="0.3">
      <c r="B34" s="8" t="s">
        <v>28</v>
      </c>
      <c r="C34" s="9" t="s">
        <v>26</v>
      </c>
      <c r="D34">
        <f>IF(OR(E34="Ja",E34="Nee"),1,0)</f>
        <v>0</v>
      </c>
      <c r="E34" t="str">
        <f>IF(Invulblad!$F$6="Gebiedsontwikkeling",Invulblad!F39,"")</f>
        <v/>
      </c>
      <c r="F34" t="str">
        <f>IF(Invulblad!$F$6="Gebiedsontwikkeling",IF(E34="Ja",0,1),"")</f>
        <v/>
      </c>
    </row>
    <row r="35" spans="1:15" x14ac:dyDescent="0.3">
      <c r="B35" s="13" t="s">
        <v>70</v>
      </c>
      <c r="C35" s="20" t="s">
        <v>149</v>
      </c>
      <c r="D35">
        <f t="shared" ref="D35:D39" si="2">IF(OR(E35="Ja",E35="Nee"),1,0)</f>
        <v>0</v>
      </c>
      <c r="E35" t="str">
        <f>IF(Invulblad!$F$6="Gebiedsontwikkeling",IF(Invulblad!F39="Ja",Invulblad!F40,""),"")</f>
        <v/>
      </c>
      <c r="F35" t="str">
        <f>IF(E34="Ja",(IF(Invulblad!$F$6="Gebiedsontwikkeling",IF(E35="Ja",0,1),"")),"")</f>
        <v/>
      </c>
    </row>
    <row r="36" spans="1:15" x14ac:dyDescent="0.3">
      <c r="B36" s="8" t="s">
        <v>29</v>
      </c>
      <c r="C36" s="9" t="s">
        <v>182</v>
      </c>
      <c r="D36">
        <f t="shared" si="2"/>
        <v>0</v>
      </c>
      <c r="E36" t="str">
        <f>IF(Invulblad!$F$6="Gebiedsontwikkeling",Invulblad!F41,"")</f>
        <v/>
      </c>
      <c r="F36" t="str">
        <f>IF(Invulblad!$F$6="Gebiedsontwikkeling",IF(E36="Ja",0,1),"")</f>
        <v/>
      </c>
    </row>
    <row r="37" spans="1:15" x14ac:dyDescent="0.3">
      <c r="B37" s="12" t="s">
        <v>30</v>
      </c>
      <c r="C37" s="9" t="s">
        <v>27</v>
      </c>
      <c r="D37">
        <f t="shared" si="2"/>
        <v>0</v>
      </c>
      <c r="E37" t="str">
        <f>IF(Invulblad!$F$6="Gebiedsontwikkeling",Invulblad!F42,"")</f>
        <v/>
      </c>
      <c r="F37" t="str">
        <f>IF(Invulblad!$F$6="Gebiedsontwikkeling",IF(E37="Nee",0,1),"")</f>
        <v/>
      </c>
    </row>
    <row r="38" spans="1:15" x14ac:dyDescent="0.3">
      <c r="B38" s="8" t="str">
        <f>TEXT(0," ")</f>
        <v xml:space="preserve"> </v>
      </c>
      <c r="C38" s="7" t="s">
        <v>24</v>
      </c>
    </row>
    <row r="39" spans="1:15" x14ac:dyDescent="0.3">
      <c r="B39" s="8" t="s">
        <v>28</v>
      </c>
      <c r="C39" s="9" t="s">
        <v>43</v>
      </c>
      <c r="D39">
        <f t="shared" si="2"/>
        <v>0</v>
      </c>
      <c r="E39" t="str">
        <f>IF(Invulblad!$F$6="Gebiedsontwikkeling",Invulblad!F44,"")</f>
        <v/>
      </c>
      <c r="F39" t="str">
        <f>IF(Invulblad!$F$6="Gebiedsontwikkeling",IF(E39="Ja",0,1),"")</f>
        <v/>
      </c>
    </row>
    <row r="40" spans="1:15" x14ac:dyDescent="0.3">
      <c r="B40" s="8" t="str">
        <f>TEXT(0," ")</f>
        <v xml:space="preserve"> </v>
      </c>
      <c r="C40" s="7" t="s">
        <v>25</v>
      </c>
      <c r="D40">
        <f>(IF(E34="Ja",0,1))+(IF(E23="Ja",0,1))</f>
        <v>2</v>
      </c>
      <c r="E40" s="3" t="s">
        <v>142</v>
      </c>
      <c r="F40" s="24" t="str">
        <f>IF(Invulblad!$F$6="Gebiedsontwikkeling",SUM(F34:F39),"")</f>
        <v/>
      </c>
      <c r="G40" s="24" t="str">
        <f>IF(Invulblad!$F$6="Gebiedsontwikkeling",COUNT(F34:F39),"")</f>
        <v/>
      </c>
      <c r="H40" s="25"/>
      <c r="I40" s="26" t="str">
        <f>IF(Invulblad!$F$6="Gebiedsontwikkeling",F40/G40,"")</f>
        <v/>
      </c>
      <c r="K40" s="1">
        <v>6</v>
      </c>
      <c r="L40" s="1">
        <v>12</v>
      </c>
      <c r="M40" s="1">
        <f>L40-K40</f>
        <v>6</v>
      </c>
      <c r="O40" t="s">
        <v>163</v>
      </c>
    </row>
    <row r="41" spans="1:15" ht="15" thickBot="1" x14ac:dyDescent="0.35">
      <c r="B41" s="11" t="str">
        <f>TEXT(0," ")</f>
        <v xml:space="preserve"> </v>
      </c>
      <c r="C41" s="10" t="s">
        <v>44</v>
      </c>
      <c r="D41" s="1">
        <f>SUM(D21:D40)</f>
        <v>2</v>
      </c>
    </row>
    <row r="42" spans="1:15" ht="15" thickBot="1" x14ac:dyDescent="0.35">
      <c r="D42" s="1">
        <f>IF(Invulblad!F6="Gebiedsontwikkeling",Data!D41,Data!D63)</f>
        <v>3</v>
      </c>
      <c r="E42" s="3" t="s">
        <v>143</v>
      </c>
    </row>
    <row r="43" spans="1:15" x14ac:dyDescent="0.3">
      <c r="A43" s="4" t="s">
        <v>45</v>
      </c>
      <c r="B43" s="5"/>
      <c r="C43" s="6" t="s">
        <v>22</v>
      </c>
    </row>
    <row r="44" spans="1:15" x14ac:dyDescent="0.3">
      <c r="B44" s="8" t="str">
        <f>TEXT(0," ")</f>
        <v xml:space="preserve"> </v>
      </c>
      <c r="C44" s="7" t="s">
        <v>179</v>
      </c>
    </row>
    <row r="45" spans="1:15" x14ac:dyDescent="0.3">
      <c r="B45" s="8" t="s">
        <v>28</v>
      </c>
      <c r="C45" s="9" t="s">
        <v>141</v>
      </c>
      <c r="D45">
        <f t="shared" ref="D45:D50" si="3">IF(OR(E45="Ja",E45="Nee"),1,0)</f>
        <v>0</v>
      </c>
      <c r="E45" t="str">
        <f>IF(Invulblad!$F$6="Locatieontwikkeling",Invulblad!F28,"")</f>
        <v/>
      </c>
      <c r="F45" t="str">
        <f>IF(Invulblad!$F$6="Locatieontwikkeling",IF(E45="Nee",0,1),"")</f>
        <v/>
      </c>
    </row>
    <row r="46" spans="1:15" x14ac:dyDescent="0.3">
      <c r="B46" s="13" t="s">
        <v>70</v>
      </c>
      <c r="C46" s="29" t="s">
        <v>140</v>
      </c>
      <c r="D46">
        <f>IF(OR(E46="Ja",E46="Nee"),1,0)</f>
        <v>0</v>
      </c>
      <c r="E46" t="str">
        <f>IF(Invulblad!$F$6="Locatieontwikkeling",IF(Invulblad!F28="Ja",Invulblad!F29,""),"")</f>
        <v/>
      </c>
      <c r="F46" t="str">
        <f>IF(E45="Ja",(IF(Invulblad!$F$6="Locatieontwikkeling",IF(E46="Ja",0,1),"")),"")</f>
        <v/>
      </c>
    </row>
    <row r="47" spans="1:15" x14ac:dyDescent="0.3">
      <c r="B47" s="8" t="s">
        <v>29</v>
      </c>
      <c r="C47" s="9" t="s">
        <v>36</v>
      </c>
      <c r="D47">
        <f t="shared" si="3"/>
        <v>0</v>
      </c>
      <c r="E47" t="str">
        <f>IF(Invulblad!$F$6="Locatieontwikkeling",Invulblad!F30,"")</f>
        <v/>
      </c>
      <c r="F47" t="str">
        <f>IF(Invulblad!$F$6="Locatieontwikkeling",IF(E47="Nee",0,1),"")</f>
        <v/>
      </c>
    </row>
    <row r="48" spans="1:15" x14ac:dyDescent="0.3">
      <c r="B48" s="8" t="s">
        <v>30</v>
      </c>
      <c r="C48" s="9" t="s">
        <v>38</v>
      </c>
      <c r="D48">
        <f t="shared" si="3"/>
        <v>0</v>
      </c>
      <c r="E48" t="str">
        <f>IF(Invulblad!$F$6="Locatieontwikkeling",Invulblad!F31,"")</f>
        <v/>
      </c>
      <c r="F48" t="str">
        <f>IF(Invulblad!$F$6="Locatieontwikkeling",IF(E48="Ja",0,1),"")</f>
        <v/>
      </c>
    </row>
    <row r="49" spans="2:15" x14ac:dyDescent="0.3">
      <c r="B49" s="8" t="s">
        <v>31</v>
      </c>
      <c r="C49" s="9" t="s">
        <v>39</v>
      </c>
      <c r="D49">
        <f t="shared" si="3"/>
        <v>0</v>
      </c>
      <c r="E49" t="str">
        <f>IF(Invulblad!$F$6="Locatieontwikkeling",Invulblad!F32,"")</f>
        <v/>
      </c>
      <c r="F49" t="str">
        <f>IF(Invulblad!$F$6="Locatieontwikkeling",IF(E49="Ja",0,1),"")</f>
        <v/>
      </c>
    </row>
    <row r="50" spans="2:15" x14ac:dyDescent="0.3">
      <c r="B50" s="8" t="s">
        <v>32</v>
      </c>
      <c r="C50" s="9" t="s">
        <v>40</v>
      </c>
      <c r="D50">
        <f t="shared" si="3"/>
        <v>0</v>
      </c>
      <c r="E50" t="str">
        <f>IF(Invulblad!$F$6="Locatieontwikkeling",Invulblad!F33,"")</f>
        <v/>
      </c>
      <c r="F50" t="str">
        <f>IF(Invulblad!$F$6="Locatieontwikkeling",IF(E50="Ja",0,1),"")</f>
        <v/>
      </c>
    </row>
    <row r="51" spans="2:15" x14ac:dyDescent="0.3">
      <c r="B51" s="8" t="str">
        <f>TEXT(0," ")</f>
        <v xml:space="preserve"> </v>
      </c>
      <c r="C51" s="7" t="s">
        <v>180</v>
      </c>
    </row>
    <row r="52" spans="2:15" x14ac:dyDescent="0.3">
      <c r="B52" s="8" t="s">
        <v>28</v>
      </c>
      <c r="C52" s="9" t="s">
        <v>41</v>
      </c>
      <c r="D52">
        <f>IF(OR(E52="Ja",E52="Nee"),1,0)</f>
        <v>0</v>
      </c>
      <c r="E52" t="str">
        <f>IF(Invulblad!$F$6="Locatieontwikkeling",Invulblad!F35,"")</f>
        <v/>
      </c>
      <c r="F52" t="str">
        <f>IF(Invulblad!$F$6="Locatieontwikkeling",IF(E52="Ja",0,1),"")</f>
        <v/>
      </c>
    </row>
    <row r="53" spans="2:15" x14ac:dyDescent="0.3">
      <c r="B53" s="8" t="s">
        <v>29</v>
      </c>
      <c r="C53" s="9" t="s">
        <v>42</v>
      </c>
      <c r="D53">
        <f>IF(OR(E53="Ja",E53="Nee"),1,0)</f>
        <v>0</v>
      </c>
      <c r="E53" t="str">
        <f>IF(Invulblad!$F$6="Locatieontwikkeling",Invulblad!F36,"")</f>
        <v/>
      </c>
      <c r="F53" t="str">
        <f>IF(Invulblad!$F$6="Locatieontwikkeling",IF(E53="Ja",0,1),"")</f>
        <v/>
      </c>
      <c r="I53" s="2"/>
    </row>
    <row r="54" spans="2:15" x14ac:dyDescent="0.3">
      <c r="B54" s="8" t="str">
        <f>TEXT(0," ")</f>
        <v xml:space="preserve"> </v>
      </c>
      <c r="C54" s="7" t="s">
        <v>181</v>
      </c>
    </row>
    <row r="55" spans="2:15" x14ac:dyDescent="0.3">
      <c r="B55" s="8" t="s">
        <v>28</v>
      </c>
      <c r="C55" s="9" t="s">
        <v>26</v>
      </c>
      <c r="D55">
        <f>IF(OR(E55="Ja",E55="Nee"),1,0)</f>
        <v>0</v>
      </c>
      <c r="E55" t="str">
        <f>IF(Invulblad!$F$6="Locatieontwikkeling",Invulblad!F38,"")</f>
        <v/>
      </c>
      <c r="F55" t="str">
        <f>IF(Invulblad!$F$6="Locatieontwikkeling",IF(E55="Ja",0,1),"")</f>
        <v/>
      </c>
    </row>
    <row r="56" spans="2:15" x14ac:dyDescent="0.3">
      <c r="B56" s="13" t="s">
        <v>70</v>
      </c>
      <c r="C56" s="20" t="s">
        <v>149</v>
      </c>
      <c r="D56">
        <f t="shared" ref="D56:D60" si="4">IF(OR(E56="Ja",E56="Nee"),1,0)</f>
        <v>0</v>
      </c>
      <c r="E56" t="str">
        <f>IF(Invulblad!$F$6="Locatieontwikkeling",IF(Invulblad!F38="Ja",Invulblad!F39,""),"")</f>
        <v/>
      </c>
      <c r="F56" t="str">
        <f>IF(E55="Ja",(IF(Invulblad!$F$6="Locatieontwikkeling",IF(E56="Ja",0,1),"")),"")</f>
        <v/>
      </c>
    </row>
    <row r="57" spans="2:15" x14ac:dyDescent="0.3">
      <c r="B57" s="8" t="s">
        <v>29</v>
      </c>
      <c r="C57" s="9" t="s">
        <v>182</v>
      </c>
      <c r="D57">
        <f t="shared" si="4"/>
        <v>0</v>
      </c>
      <c r="E57" t="str">
        <f>IF(Invulblad!$F$6="Locatieontwikkeling",Invulblad!F40,"")</f>
        <v/>
      </c>
      <c r="F57" t="str">
        <f>IF(Invulblad!$F$6="Locatieontwikkeling",IF(E57="Ja",0,1),"")</f>
        <v/>
      </c>
    </row>
    <row r="58" spans="2:15" x14ac:dyDescent="0.3">
      <c r="B58" s="8" t="s">
        <v>30</v>
      </c>
      <c r="C58" s="9" t="s">
        <v>27</v>
      </c>
      <c r="D58">
        <f t="shared" si="4"/>
        <v>0</v>
      </c>
      <c r="E58" t="str">
        <f>IF(Invulblad!$F$6="Locatieontwikkeling",Invulblad!F41,"")</f>
        <v/>
      </c>
      <c r="F58" t="str">
        <f>IF(Invulblad!$F$6="Locatieontwikkeling",IF(E58="Nee",0,1),"")</f>
        <v/>
      </c>
    </row>
    <row r="59" spans="2:15" x14ac:dyDescent="0.3">
      <c r="B59" s="8" t="str">
        <f>TEXT(0," ")</f>
        <v xml:space="preserve"> </v>
      </c>
      <c r="C59" s="7" t="s">
        <v>24</v>
      </c>
    </row>
    <row r="60" spans="2:15" x14ac:dyDescent="0.3">
      <c r="B60" s="8" t="s">
        <v>28</v>
      </c>
      <c r="C60" s="9" t="s">
        <v>43</v>
      </c>
      <c r="D60">
        <f t="shared" si="4"/>
        <v>0</v>
      </c>
      <c r="E60" t="str">
        <f>IF(Invulblad!$F$6="Locatieontwikkeling",Invulblad!F43,"")</f>
        <v/>
      </c>
      <c r="F60" t="str">
        <f>IF(Invulblad!$F$6="Locatieontwikkeling",IF(E60="Ja",0,1),"")</f>
        <v/>
      </c>
    </row>
    <row r="61" spans="2:15" x14ac:dyDescent="0.3">
      <c r="B61" s="8" t="str">
        <f>TEXT(0," ")</f>
        <v xml:space="preserve"> </v>
      </c>
      <c r="C61" s="7" t="s">
        <v>25</v>
      </c>
      <c r="D61">
        <f>(IF(E55="Ja",0,1))+(IF(E45="Ja",0,1))+1</f>
        <v>3</v>
      </c>
      <c r="E61" s="3" t="s">
        <v>142</v>
      </c>
      <c r="F61" s="24" t="str">
        <f>IF(Invulblad!$F$6="Locatieontwikkeling",SUM(F45:F60),"")</f>
        <v/>
      </c>
      <c r="G61" s="24" t="str">
        <f>IF(Invulblad!$F$6="Locatieontwikkeling",COUNT(F45:F60),"")</f>
        <v/>
      </c>
      <c r="H61" s="25"/>
      <c r="I61" s="26" t="str">
        <f>IF(Invulblad!$F$6="Locatieontwikkeling",F61/G61,"")</f>
        <v/>
      </c>
      <c r="K61" s="1">
        <v>3</v>
      </c>
      <c r="L61" s="1">
        <v>9</v>
      </c>
      <c r="M61" s="1">
        <f>L61-K61</f>
        <v>6</v>
      </c>
      <c r="O61" t="s">
        <v>162</v>
      </c>
    </row>
    <row r="62" spans="2:15" x14ac:dyDescent="0.3">
      <c r="B62" s="8" t="str">
        <f>TEXT(0," ")</f>
        <v xml:space="preserve"> </v>
      </c>
      <c r="C62" s="9" t="s">
        <v>44</v>
      </c>
    </row>
    <row r="63" spans="2:15" ht="15" thickBot="1" x14ac:dyDescent="0.35">
      <c r="B63" s="11" t="str">
        <f>TEXT(0," ")</f>
        <v xml:space="preserve"> </v>
      </c>
      <c r="C63" s="10" t="str">
        <f>TEXT(0," ")</f>
        <v xml:space="preserve"> </v>
      </c>
      <c r="D63" s="1">
        <f>SUM(D44:D62)</f>
        <v>3</v>
      </c>
    </row>
    <row r="64" spans="2:15" ht="15" thickBot="1" x14ac:dyDescent="0.35"/>
    <row r="65" spans="2:15" x14ac:dyDescent="0.3">
      <c r="B65" s="5"/>
      <c r="C65" s="6" t="s">
        <v>46</v>
      </c>
    </row>
    <row r="66" spans="2:15" x14ac:dyDescent="0.3">
      <c r="B66" s="8" t="str">
        <f>TEXT(0," ")</f>
        <v xml:space="preserve"> </v>
      </c>
      <c r="C66" s="7" t="s">
        <v>47</v>
      </c>
    </row>
    <row r="67" spans="2:15" x14ac:dyDescent="0.3">
      <c r="B67" s="8" t="s">
        <v>28</v>
      </c>
      <c r="C67" s="9" t="s">
        <v>48</v>
      </c>
      <c r="D67">
        <f t="shared" ref="D67:D78" si="5">IF(OR(E67="Ja",E67="Nee"),1,0)</f>
        <v>0</v>
      </c>
      <c r="E67">
        <f>Invulblad!F50</f>
        <v>0</v>
      </c>
      <c r="F67">
        <f>IF(E67="Ja",0,1)</f>
        <v>1</v>
      </c>
    </row>
    <row r="68" spans="2:15" x14ac:dyDescent="0.3">
      <c r="B68" s="8" t="s">
        <v>29</v>
      </c>
      <c r="C68" s="9" t="s">
        <v>49</v>
      </c>
      <c r="D68">
        <f t="shared" si="5"/>
        <v>0</v>
      </c>
      <c r="E68">
        <f>Invulblad!F51</f>
        <v>0</v>
      </c>
      <c r="F68">
        <f>IF(E68="Nee",0,1)</f>
        <v>1</v>
      </c>
    </row>
    <row r="69" spans="2:15" x14ac:dyDescent="0.3">
      <c r="B69" s="8" t="str">
        <f>TEXT(0," ")</f>
        <v xml:space="preserve"> </v>
      </c>
      <c r="C69" s="7" t="s">
        <v>50</v>
      </c>
    </row>
    <row r="70" spans="2:15" x14ac:dyDescent="0.3">
      <c r="B70" s="8" t="s">
        <v>28</v>
      </c>
      <c r="C70" s="9" t="s">
        <v>51</v>
      </c>
      <c r="D70">
        <f t="shared" si="5"/>
        <v>0</v>
      </c>
      <c r="E70">
        <f>Invulblad!F53</f>
        <v>0</v>
      </c>
      <c r="F70">
        <f>IF(E70="Ja",0,1)</f>
        <v>1</v>
      </c>
    </row>
    <row r="71" spans="2:15" x14ac:dyDescent="0.3">
      <c r="B71" s="13" t="s">
        <v>70</v>
      </c>
      <c r="C71" s="20" t="s">
        <v>150</v>
      </c>
      <c r="D71">
        <f t="shared" si="5"/>
        <v>0</v>
      </c>
      <c r="E71" t="str">
        <f>IF(Invulblad!F53="Ja",Invulblad!F54,"")</f>
        <v/>
      </c>
      <c r="F71" t="str">
        <f>IF(E70="Ja",IF(E71="Ja",0,1),"")</f>
        <v/>
      </c>
    </row>
    <row r="72" spans="2:15" x14ac:dyDescent="0.3">
      <c r="B72" s="8" t="str">
        <f>TEXT(0," ")</f>
        <v xml:space="preserve"> </v>
      </c>
      <c r="C72" s="7" t="s">
        <v>52</v>
      </c>
    </row>
    <row r="73" spans="2:15" x14ac:dyDescent="0.3">
      <c r="B73" s="8" t="s">
        <v>28</v>
      </c>
      <c r="C73" s="9" t="s">
        <v>53</v>
      </c>
      <c r="D73">
        <f t="shared" si="5"/>
        <v>0</v>
      </c>
      <c r="E73">
        <f>Invulblad!F56</f>
        <v>0</v>
      </c>
      <c r="F73">
        <f>IF(E73="Ja",0,1)</f>
        <v>1</v>
      </c>
    </row>
    <row r="74" spans="2:15" x14ac:dyDescent="0.3">
      <c r="B74" s="13" t="s">
        <v>70</v>
      </c>
      <c r="C74" s="20" t="s">
        <v>151</v>
      </c>
      <c r="D74">
        <f t="shared" si="5"/>
        <v>0</v>
      </c>
      <c r="E74" t="str">
        <f>IF(Invulblad!F56="Ja",Invulblad!F57,"")</f>
        <v/>
      </c>
      <c r="F74" t="str">
        <f>IF(E73="Ja",IF(E74="Ja",0,1),"")</f>
        <v/>
      </c>
    </row>
    <row r="75" spans="2:15" x14ac:dyDescent="0.3">
      <c r="B75" s="8" t="str">
        <f>TEXT(0," ")</f>
        <v xml:space="preserve"> </v>
      </c>
      <c r="C75" s="7" t="s">
        <v>24</v>
      </c>
    </row>
    <row r="76" spans="2:15" x14ac:dyDescent="0.3">
      <c r="B76" s="8" t="s">
        <v>28</v>
      </c>
      <c r="C76" s="9" t="s">
        <v>54</v>
      </c>
      <c r="D76">
        <f t="shared" si="5"/>
        <v>0</v>
      </c>
      <c r="E76">
        <f>Invulblad!F59</f>
        <v>0</v>
      </c>
      <c r="F76">
        <f>IF(E76="Ja",0,1)</f>
        <v>1</v>
      </c>
    </row>
    <row r="77" spans="2:15" x14ac:dyDescent="0.3">
      <c r="B77" s="8" t="s">
        <v>29</v>
      </c>
      <c r="C77" s="9" t="s">
        <v>55</v>
      </c>
      <c r="D77">
        <f t="shared" si="5"/>
        <v>0</v>
      </c>
      <c r="E77">
        <f>Invulblad!F60</f>
        <v>0</v>
      </c>
      <c r="F77">
        <f>IF(E77="Ja",0,1)</f>
        <v>1</v>
      </c>
    </row>
    <row r="78" spans="2:15" x14ac:dyDescent="0.3">
      <c r="B78" s="8" t="s">
        <v>30</v>
      </c>
      <c r="C78" s="9" t="s">
        <v>56</v>
      </c>
      <c r="D78">
        <f t="shared" si="5"/>
        <v>0</v>
      </c>
      <c r="E78">
        <f>Invulblad!F61</f>
        <v>0</v>
      </c>
      <c r="F78">
        <f>IF(E78="Nee",0,1)</f>
        <v>1</v>
      </c>
      <c r="J78" s="4" t="s">
        <v>23</v>
      </c>
      <c r="K78" s="1">
        <v>6</v>
      </c>
      <c r="L78" s="1">
        <v>12</v>
      </c>
      <c r="M78" s="1">
        <f>L78-K78</f>
        <v>6</v>
      </c>
      <c r="O78" t="s">
        <v>163</v>
      </c>
    </row>
    <row r="79" spans="2:15" x14ac:dyDescent="0.3">
      <c r="B79" s="8" t="str">
        <f>TEXT(0," ")</f>
        <v xml:space="preserve"> </v>
      </c>
      <c r="C79" s="7" t="s">
        <v>57</v>
      </c>
      <c r="D79">
        <f>IF(E70="Ja",0,1)+IF(E73="Ja",0,1)</f>
        <v>2</v>
      </c>
      <c r="E79" s="3" t="s">
        <v>142</v>
      </c>
      <c r="F79" s="24">
        <f>SUM(F67:F78)</f>
        <v>7</v>
      </c>
      <c r="G79" s="24">
        <f>COUNT(F67:F78)</f>
        <v>7</v>
      </c>
      <c r="H79" s="25"/>
      <c r="I79" s="26">
        <f>F79/G79</f>
        <v>1</v>
      </c>
      <c r="J79" s="4" t="s">
        <v>45</v>
      </c>
      <c r="K79" s="1">
        <v>3</v>
      </c>
      <c r="L79" s="1">
        <v>9</v>
      </c>
      <c r="M79" s="1">
        <f>L79-K79</f>
        <v>6</v>
      </c>
      <c r="O79" t="s">
        <v>162</v>
      </c>
    </row>
    <row r="80" spans="2:15" ht="15" thickBot="1" x14ac:dyDescent="0.35">
      <c r="B80" s="11" t="str">
        <f>TEXT(0," ")</f>
        <v xml:space="preserve"> </v>
      </c>
      <c r="C80" s="10" t="s">
        <v>58</v>
      </c>
      <c r="D80" s="1">
        <f>SUM(D65:D79)</f>
        <v>2</v>
      </c>
    </row>
    <row r="81" spans="1:15" ht="15" thickBot="1" x14ac:dyDescent="0.35"/>
    <row r="82" spans="1:15" x14ac:dyDescent="0.3">
      <c r="B82" s="5"/>
      <c r="C82" s="6" t="s">
        <v>59</v>
      </c>
    </row>
    <row r="83" spans="1:15" x14ac:dyDescent="0.3">
      <c r="B83" s="8" t="str">
        <f>TEXT(0," ")</f>
        <v xml:space="preserve"> </v>
      </c>
      <c r="C83" s="7" t="s">
        <v>60</v>
      </c>
    </row>
    <row r="84" spans="1:15" x14ac:dyDescent="0.3">
      <c r="B84" s="8" t="s">
        <v>28</v>
      </c>
      <c r="C84" s="9" t="s">
        <v>62</v>
      </c>
      <c r="D84">
        <f t="shared" ref="D84" si="6">IF(OR(E84="Ja",E84="Nee"),1,0)</f>
        <v>0</v>
      </c>
      <c r="E84">
        <f>Invulblad!F67</f>
        <v>0</v>
      </c>
      <c r="F84">
        <f>IF(E84="Ja",0,1)</f>
        <v>1</v>
      </c>
    </row>
    <row r="85" spans="1:15" x14ac:dyDescent="0.3">
      <c r="B85" s="8" t="str">
        <f>TEXT(0," ")</f>
        <v xml:space="preserve"> </v>
      </c>
      <c r="C85" s="7" t="s">
        <v>61</v>
      </c>
    </row>
    <row r="86" spans="1:15" x14ac:dyDescent="0.3">
      <c r="B86" s="8" t="s">
        <v>28</v>
      </c>
      <c r="C86" s="9" t="s">
        <v>63</v>
      </c>
      <c r="D86">
        <f t="shared" ref="D86" si="7">IF(OR(E86="Ja",E86="Nee"),1,0)</f>
        <v>0</v>
      </c>
      <c r="E86">
        <f>Invulblad!F69</f>
        <v>0</v>
      </c>
      <c r="F86">
        <f>IF(E86="Ja",0,1)</f>
        <v>1</v>
      </c>
    </row>
    <row r="87" spans="1:15" x14ac:dyDescent="0.3">
      <c r="B87" s="13" t="s">
        <v>70</v>
      </c>
      <c r="C87" s="20" t="s">
        <v>64</v>
      </c>
      <c r="D87">
        <f>IF(OR(E87="Ja",E87="Nee"),1,0)</f>
        <v>0</v>
      </c>
      <c r="E87" t="str">
        <f>IF(Invulblad!F69="Nee",Invulblad!F70,"")</f>
        <v/>
      </c>
      <c r="F87" t="str">
        <f>IF(E86="Nee",IF(E87="Ja",0,1),"")</f>
        <v/>
      </c>
    </row>
    <row r="88" spans="1:15" x14ac:dyDescent="0.3">
      <c r="B88" s="8" t="s">
        <v>29</v>
      </c>
      <c r="C88" s="9" t="s">
        <v>65</v>
      </c>
      <c r="D88">
        <f t="shared" ref="D88:D89" si="8">IF(OR(E88="Ja",E88="Nee"),1,0)</f>
        <v>0</v>
      </c>
      <c r="E88">
        <f>Invulblad!F71</f>
        <v>0</v>
      </c>
      <c r="F88">
        <f>IF(E88="Ja",0,1)</f>
        <v>1</v>
      </c>
    </row>
    <row r="89" spans="1:15" x14ac:dyDescent="0.3">
      <c r="B89" s="8" t="s">
        <v>30</v>
      </c>
      <c r="C89" s="9" t="s">
        <v>67</v>
      </c>
      <c r="D89">
        <f t="shared" si="8"/>
        <v>0</v>
      </c>
      <c r="E89">
        <f>Invulblad!F72</f>
        <v>0</v>
      </c>
      <c r="F89">
        <f>IF(E89="Nee",0,1)</f>
        <v>1</v>
      </c>
    </row>
    <row r="90" spans="1:15" x14ac:dyDescent="0.3">
      <c r="B90" s="13" t="s">
        <v>70</v>
      </c>
      <c r="C90" s="20" t="s">
        <v>66</v>
      </c>
      <c r="D90">
        <f>IF(OR(E90="Ja",E90="Nee"),1,0)</f>
        <v>0</v>
      </c>
      <c r="E90" t="str">
        <f>IF(Invulblad!F72="Ja",Invulblad!F73,"")</f>
        <v/>
      </c>
      <c r="F90" t="str">
        <f>IF(E89="Ja",IF(E90="Ja",0,1),"")</f>
        <v/>
      </c>
    </row>
    <row r="91" spans="1:15" x14ac:dyDescent="0.3">
      <c r="B91" s="8" t="str">
        <f>TEXT(0," ")</f>
        <v xml:space="preserve"> </v>
      </c>
      <c r="C91" s="7" t="s">
        <v>68</v>
      </c>
      <c r="D91">
        <f>(IF(E86="Nee",0,1))+(IF(E89="Ja",0,1))</f>
        <v>2</v>
      </c>
      <c r="E91" s="3" t="s">
        <v>142</v>
      </c>
      <c r="F91" s="24">
        <f>SUM(F84:F90)</f>
        <v>4</v>
      </c>
      <c r="G91" s="24">
        <f>COUNT(F84:F90)</f>
        <v>4</v>
      </c>
      <c r="H91" s="25"/>
      <c r="I91" s="26">
        <f>F91/G91</f>
        <v>1</v>
      </c>
      <c r="K91" s="1">
        <v>6</v>
      </c>
      <c r="L91" s="1">
        <v>6</v>
      </c>
      <c r="M91" s="1">
        <f>L91-K91</f>
        <v>0</v>
      </c>
      <c r="O91" t="s">
        <v>160</v>
      </c>
    </row>
    <row r="92" spans="1:15" ht="15" thickBot="1" x14ac:dyDescent="0.35">
      <c r="B92" s="11" t="str">
        <f>TEXT(0," ")</f>
        <v xml:space="preserve"> </v>
      </c>
      <c r="C92" s="10" t="s">
        <v>69</v>
      </c>
      <c r="D92" s="1">
        <f>SUM(D82:D91)</f>
        <v>2</v>
      </c>
    </row>
    <row r="93" spans="1:15" ht="15" thickBot="1" x14ac:dyDescent="0.35"/>
    <row r="94" spans="1:15" x14ac:dyDescent="0.3">
      <c r="A94" s="4" t="s">
        <v>23</v>
      </c>
      <c r="B94" s="5"/>
      <c r="C94" s="6" t="s">
        <v>71</v>
      </c>
    </row>
    <row r="95" spans="1:15" x14ac:dyDescent="0.3">
      <c r="B95" s="8" t="str">
        <f>TEXT(0," ")</f>
        <v xml:space="preserve"> </v>
      </c>
      <c r="C95" s="7" t="s">
        <v>72</v>
      </c>
    </row>
    <row r="96" spans="1:15" x14ac:dyDescent="0.3">
      <c r="B96" s="8" t="s">
        <v>28</v>
      </c>
      <c r="C96" s="9" t="s">
        <v>73</v>
      </c>
      <c r="D96">
        <f>IF(OR(E96="Ja",E96="Nee"),1,0)</f>
        <v>0</v>
      </c>
      <c r="E96" t="str">
        <f>IF(Invulblad!$F$6="Gebiedsontwikkeling",Invulblad!F79,"")</f>
        <v/>
      </c>
      <c r="F96" t="str">
        <f>IF(Invulblad!$F$6="Gebiedsontwikkeling",IF(E96="Ja",0,1),"")</f>
        <v/>
      </c>
    </row>
    <row r="97" spans="1:15" x14ac:dyDescent="0.3">
      <c r="B97" s="13" t="s">
        <v>70</v>
      </c>
      <c r="C97" s="20" t="s">
        <v>153</v>
      </c>
      <c r="D97">
        <f>IF(OR(E97="Ja",E97="Nee"),1,0)</f>
        <v>0</v>
      </c>
      <c r="E97" t="str">
        <f>IF(Invulblad!$F$6="Gebiedsontwikkeling",IF(Invulblad!F79="Ja",Invulblad!F80,""),"")</f>
        <v/>
      </c>
      <c r="F97" t="str">
        <f>IF(E96="Ja",(IF(Invulblad!$F$6="Gebiedsontwikkeling",IF(E97="Ja",0,1),"")),"")</f>
        <v/>
      </c>
    </row>
    <row r="98" spans="1:15" x14ac:dyDescent="0.3">
      <c r="B98" s="13" t="s">
        <v>152</v>
      </c>
      <c r="C98" s="28" t="s">
        <v>154</v>
      </c>
      <c r="D98">
        <f>IF(OR(E98="Ja",E98="Nee"),1,0)</f>
        <v>0</v>
      </c>
      <c r="E98" t="str">
        <f>IF(Invulblad!$F$6="Gebiedsontwikkeling",IF(AND((Invulblad!F80="Ja"),Invulblad!F79="Ja"),Invulblad!F81,""),"")</f>
        <v/>
      </c>
      <c r="F98" t="str">
        <f>IF(E97="Ja",(IF(Invulblad!$F$6="Gebiedsontwikkeling",IF(E98="Ja",0,1),"")),"")</f>
        <v/>
      </c>
    </row>
    <row r="99" spans="1:15" x14ac:dyDescent="0.3">
      <c r="B99" s="8" t="str">
        <f>TEXT(0," ")</f>
        <v xml:space="preserve"> </v>
      </c>
      <c r="C99" s="7" t="s">
        <v>74</v>
      </c>
      <c r="D99">
        <f>(IF(E96="Ja",0,1))+(IF(E97="Ja",0,1))</f>
        <v>2</v>
      </c>
      <c r="E99" s="3" t="s">
        <v>142</v>
      </c>
      <c r="F99" s="24" t="str">
        <f>IF(Invulblad!$F$6="Gebiedsontwikkeling",SUM(F96:F98),"")</f>
        <v/>
      </c>
      <c r="G99" s="24" t="str">
        <f>IF(Invulblad!$F$6="Gebiedsontwikkeling",COUNT(F96:F98),"")</f>
        <v/>
      </c>
      <c r="H99" s="25"/>
      <c r="I99" s="26" t="str">
        <f>IF(Invulblad!$F$6="Gebiedsontwikkeling",F99/G99,"")</f>
        <v/>
      </c>
      <c r="K99" s="1">
        <v>6</v>
      </c>
      <c r="L99" s="1">
        <v>6</v>
      </c>
      <c r="M99" s="1">
        <f>L99-K99</f>
        <v>0</v>
      </c>
      <c r="O99" t="s">
        <v>160</v>
      </c>
    </row>
    <row r="100" spans="1:15" ht="15" thickBot="1" x14ac:dyDescent="0.35">
      <c r="B100" s="11" t="str">
        <f>TEXT(0," ")</f>
        <v xml:space="preserve"> </v>
      </c>
      <c r="C100" s="10" t="s">
        <v>75</v>
      </c>
      <c r="D100" s="1">
        <f>SUM(D96:D99)</f>
        <v>2</v>
      </c>
    </row>
    <row r="101" spans="1:15" ht="15" thickBot="1" x14ac:dyDescent="0.35">
      <c r="D101" s="1">
        <f>IF(Invulblad!F6="Gebiedsontwikkeling",Data!D100,Data!D108)</f>
        <v>2</v>
      </c>
      <c r="E101" s="3" t="s">
        <v>143</v>
      </c>
    </row>
    <row r="102" spans="1:15" x14ac:dyDescent="0.3">
      <c r="A102" s="4" t="s">
        <v>45</v>
      </c>
      <c r="B102" s="5"/>
      <c r="C102" s="6" t="s">
        <v>71</v>
      </c>
    </row>
    <row r="103" spans="1:15" x14ac:dyDescent="0.3">
      <c r="B103" s="8" t="str">
        <f>TEXT(0," ")</f>
        <v xml:space="preserve"> </v>
      </c>
      <c r="C103" s="7" t="s">
        <v>76</v>
      </c>
    </row>
    <row r="104" spans="1:15" x14ac:dyDescent="0.3">
      <c r="B104" s="8" t="s">
        <v>28</v>
      </c>
      <c r="C104" s="9" t="s">
        <v>73</v>
      </c>
      <c r="D104">
        <f>IF(OR(E104="Ja",E104="Nee"),1,0)</f>
        <v>0</v>
      </c>
      <c r="E104" t="str">
        <f>IF(Invulblad!$F$6="Locatieontwikkeling",Invulblad!F79,"")</f>
        <v/>
      </c>
      <c r="F104" t="str">
        <f>IF(Invulblad!$F$6="Locatieontwikkeling",IF(E104="Ja",0,1),"")</f>
        <v/>
      </c>
    </row>
    <row r="105" spans="1:15" x14ac:dyDescent="0.3">
      <c r="B105" s="13" t="s">
        <v>70</v>
      </c>
      <c r="C105" s="20" t="s">
        <v>155</v>
      </c>
      <c r="D105">
        <f>IF(OR(E105="Ja",E105="Nee"),1,0)</f>
        <v>0</v>
      </c>
      <c r="E105" t="str">
        <f>IF(Invulblad!$F$6="Locatieontwikkeling",IF(Invulblad!F79="Ja",Invulblad!F80,""),"")</f>
        <v/>
      </c>
      <c r="F105" t="str">
        <f>IF(E104="Ja",(IF(Invulblad!$F$6="Locatieontwikkeling",IF(E105="Ja",0,1),"")),"")</f>
        <v/>
      </c>
    </row>
    <row r="106" spans="1:15" x14ac:dyDescent="0.3">
      <c r="B106" s="13" t="s">
        <v>152</v>
      </c>
      <c r="C106" s="28" t="s">
        <v>154</v>
      </c>
      <c r="D106">
        <f>IF(OR(E106="Ja",E106="Nee"),1,0)</f>
        <v>0</v>
      </c>
      <c r="E106" t="str">
        <f>IF(Invulblad!$F$6="Locatieontwikkeling",IF(AND((Invulblad!F80="Ja"),Invulblad!F79="Ja"),Invulblad!F81,""),"")</f>
        <v/>
      </c>
      <c r="F106" t="str">
        <f>IF(E105="Ja",(IF(Invulblad!$F$6="Locatieontwikkeling",IF(E106="Ja",0,1),"")),"")</f>
        <v/>
      </c>
    </row>
    <row r="107" spans="1:15" x14ac:dyDescent="0.3">
      <c r="B107" s="8" t="str">
        <f>TEXT(0," ")</f>
        <v xml:space="preserve"> </v>
      </c>
      <c r="C107" s="7" t="s">
        <v>74</v>
      </c>
      <c r="D107">
        <f>(IF(E104="Ja",0,1))+(IF(E105="Ja",0,1))</f>
        <v>2</v>
      </c>
      <c r="E107" s="3" t="s">
        <v>142</v>
      </c>
      <c r="F107" s="24" t="str">
        <f>IF(Invulblad!$F$6="Locatieontwikkeling",SUM(F104:F106),"")</f>
        <v/>
      </c>
      <c r="G107" s="24" t="str">
        <f>IF(Invulblad!$F$6="Locatieontwikkeling",COUNT(F104:F106),"")</f>
        <v/>
      </c>
      <c r="H107" s="25"/>
      <c r="I107" s="26" t="str">
        <f>IF(Invulblad!$F$6="Locatieontwikkeling",F107/G107,"")</f>
        <v/>
      </c>
      <c r="K107" s="1">
        <v>6</v>
      </c>
      <c r="L107" s="1">
        <v>6</v>
      </c>
      <c r="M107" s="1">
        <f>L107-K107</f>
        <v>0</v>
      </c>
      <c r="O107" t="s">
        <v>160</v>
      </c>
    </row>
    <row r="108" spans="1:15" ht="15" thickBot="1" x14ac:dyDescent="0.35">
      <c r="B108" s="11" t="str">
        <f>TEXT(0," ")</f>
        <v xml:space="preserve"> </v>
      </c>
      <c r="C108" s="10" t="s">
        <v>75</v>
      </c>
      <c r="D108" s="1">
        <f>SUM(D104:D107)</f>
        <v>2</v>
      </c>
    </row>
    <row r="109" spans="1:15" ht="15" thickBot="1" x14ac:dyDescent="0.35"/>
    <row r="110" spans="1:15" x14ac:dyDescent="0.3">
      <c r="A110" s="4" t="s">
        <v>88</v>
      </c>
      <c r="B110" s="5"/>
      <c r="C110" s="6" t="s">
        <v>77</v>
      </c>
    </row>
    <row r="111" spans="1:15" x14ac:dyDescent="0.3">
      <c r="B111" s="8" t="str">
        <f>TEXT(0," ")</f>
        <v xml:space="preserve"> </v>
      </c>
      <c r="C111" s="7" t="s">
        <v>78</v>
      </c>
    </row>
    <row r="112" spans="1:15" x14ac:dyDescent="0.3">
      <c r="B112" s="8" t="s">
        <v>28</v>
      </c>
      <c r="C112" s="9" t="s">
        <v>79</v>
      </c>
      <c r="D112">
        <f>IF(OR(E112="Ja",E112="Nee"),1,0)</f>
        <v>0</v>
      </c>
      <c r="E112" t="str">
        <f>IF(Invulblad!$F$7="Wijziging omgevingsplan",Invulblad!F87,"")</f>
        <v/>
      </c>
      <c r="F112" t="str">
        <f>IF(Invulblad!$F$7="Wijziging omgevingsplan",IF(E112="Ja",0,1),"")</f>
        <v/>
      </c>
    </row>
    <row r="113" spans="1:15" x14ac:dyDescent="0.3">
      <c r="B113" s="8" t="s">
        <v>29</v>
      </c>
      <c r="C113" s="15" t="s">
        <v>80</v>
      </c>
      <c r="D113">
        <f t="shared" ref="D113:D122" si="9">IF(OR(E113="Ja",E113="Nee"),1,0)</f>
        <v>0</v>
      </c>
      <c r="E113" t="str">
        <f>IF(Invulblad!$F$7="Wijziging omgevingsplan",Invulblad!F88,"")</f>
        <v/>
      </c>
      <c r="F113" t="str">
        <f>IF(Invulblad!$F$7="Wijziging omgevingsplan",IF(E113="Nee",0,1),"")</f>
        <v/>
      </c>
    </row>
    <row r="114" spans="1:15" x14ac:dyDescent="0.3">
      <c r="B114" s="8" t="str">
        <f>TEXT(0," ")</f>
        <v xml:space="preserve"> </v>
      </c>
      <c r="C114" s="14" t="s">
        <v>81</v>
      </c>
    </row>
    <row r="115" spans="1:15" x14ac:dyDescent="0.3">
      <c r="B115" s="8" t="str">
        <f>TEXT(0," ")</f>
        <v xml:space="preserve"> </v>
      </c>
      <c r="C115" s="14" t="s">
        <v>82</v>
      </c>
    </row>
    <row r="116" spans="1:15" x14ac:dyDescent="0.3">
      <c r="B116" s="8" t="str">
        <f>TEXT(0," ")</f>
        <v xml:space="preserve"> </v>
      </c>
      <c r="C116" s="14" t="s">
        <v>83</v>
      </c>
    </row>
    <row r="117" spans="1:15" x14ac:dyDescent="0.3">
      <c r="B117" s="8" t="str">
        <f>TEXT(0," ")</f>
        <v xml:space="preserve"> </v>
      </c>
      <c r="C117" s="14" t="s">
        <v>84</v>
      </c>
    </row>
    <row r="118" spans="1:15" x14ac:dyDescent="0.3">
      <c r="B118" s="8" t="str">
        <f>TEXT(0," ")</f>
        <v xml:space="preserve"> </v>
      </c>
      <c r="C118" s="14" t="s">
        <v>85</v>
      </c>
    </row>
    <row r="119" spans="1:15" x14ac:dyDescent="0.3">
      <c r="B119" s="8" t="s">
        <v>30</v>
      </c>
      <c r="C119" s="16" t="s">
        <v>86</v>
      </c>
      <c r="D119">
        <f t="shared" si="9"/>
        <v>0</v>
      </c>
      <c r="E119" t="str">
        <f>IF(Invulblad!$F$7="Wijziging omgevingsplan",Invulblad!F94,"")</f>
        <v/>
      </c>
      <c r="F119" t="str">
        <f>IF(Invulblad!$F$7="Wijziging omgevingsplan",IF(E119="Ja",0,1),"")</f>
        <v/>
      </c>
    </row>
    <row r="120" spans="1:15" x14ac:dyDescent="0.3">
      <c r="B120" s="8" t="str">
        <f>TEXT(0," ")</f>
        <v xml:space="preserve"> </v>
      </c>
      <c r="C120" s="17" t="s">
        <v>87</v>
      </c>
    </row>
    <row r="121" spans="1:15" x14ac:dyDescent="0.3">
      <c r="B121" s="8" t="s">
        <v>28</v>
      </c>
      <c r="C121" s="16" t="s">
        <v>89</v>
      </c>
      <c r="D121">
        <f t="shared" si="9"/>
        <v>0</v>
      </c>
      <c r="E121" t="str">
        <f>IF(Invulblad!$F$7="Wijziging omgevingsplan",Invulblad!F96,"")</f>
        <v/>
      </c>
      <c r="F121" t="str">
        <f>IF(Invulblad!$F$7="Wijziging omgevingsplan",IF(E121="Ja",0,1),"")</f>
        <v/>
      </c>
    </row>
    <row r="122" spans="1:15" x14ac:dyDescent="0.3">
      <c r="B122" s="8" t="s">
        <v>29</v>
      </c>
      <c r="C122" s="16" t="s">
        <v>90</v>
      </c>
      <c r="D122">
        <f t="shared" si="9"/>
        <v>0</v>
      </c>
      <c r="E122" t="str">
        <f>IF(Invulblad!$F$7="Wijziging omgevingsplan",Invulblad!F97,"")</f>
        <v/>
      </c>
      <c r="F122" t="str">
        <f>IF(Invulblad!$F$7="Wijziging omgevingsplan",IF(E122="Nee",0,1),"")</f>
        <v/>
      </c>
    </row>
    <row r="123" spans="1:15" x14ac:dyDescent="0.3">
      <c r="B123" s="8" t="str">
        <f>TEXT(0," ")</f>
        <v xml:space="preserve"> </v>
      </c>
      <c r="C123" s="17" t="s">
        <v>91</v>
      </c>
      <c r="D123" s="1">
        <f>SUM(D111:D122)</f>
        <v>0</v>
      </c>
      <c r="F123" s="24" t="str">
        <f>IF(Invulblad!$F$7="Wijziging omgevingsplan",SUM(F112:F122),"")</f>
        <v/>
      </c>
      <c r="G123" s="24" t="str">
        <f>IF(Invulblad!$F$7="Wijziging omgevingsplan",COUNT(F112:F122),"")</f>
        <v/>
      </c>
      <c r="H123" s="25"/>
      <c r="I123" s="26" t="str">
        <f>IF(Invulblad!$F$7="Wijziging omgevingsplan",F123/G123,"")</f>
        <v/>
      </c>
      <c r="K123" s="1">
        <v>12</v>
      </c>
      <c r="L123" s="1">
        <v>18</v>
      </c>
      <c r="M123" s="1">
        <f>L123-K123</f>
        <v>6</v>
      </c>
      <c r="O123" t="s">
        <v>164</v>
      </c>
    </row>
    <row r="124" spans="1:15" ht="15" thickBot="1" x14ac:dyDescent="0.35">
      <c r="B124" s="11" t="str">
        <f>TEXT(0," ")</f>
        <v xml:space="preserve"> </v>
      </c>
      <c r="C124" s="18" t="s">
        <v>92</v>
      </c>
    </row>
    <row r="125" spans="1:15" ht="15" thickBot="1" x14ac:dyDescent="0.35">
      <c r="D125" s="1">
        <f>IF(Invulblad!F7="Wijziging omgevingsplan",Data!D123,D139)</f>
        <v>0</v>
      </c>
      <c r="E125" s="3" t="s">
        <v>143</v>
      </c>
    </row>
    <row r="126" spans="1:15" x14ac:dyDescent="0.3">
      <c r="A126" s="4" t="s">
        <v>10</v>
      </c>
      <c r="B126" s="5"/>
      <c r="C126" s="6" t="s">
        <v>77</v>
      </c>
    </row>
    <row r="127" spans="1:15" x14ac:dyDescent="0.3">
      <c r="B127" s="8" t="str">
        <f>TEXT(0," ")</f>
        <v xml:space="preserve"> </v>
      </c>
      <c r="C127" s="7" t="s">
        <v>93</v>
      </c>
    </row>
    <row r="128" spans="1:15" x14ac:dyDescent="0.3">
      <c r="B128" s="8" t="s">
        <v>28</v>
      </c>
      <c r="C128" s="9" t="s">
        <v>79</v>
      </c>
      <c r="D128">
        <f>IF(OR(E128="Ja",E128="Nee"),1,0)</f>
        <v>0</v>
      </c>
      <c r="E128" t="str">
        <f>IF(Invulblad!$F$7="BOPA",Invulblad!F87,"")</f>
        <v/>
      </c>
      <c r="F128" t="str">
        <f>IF(Invulblad!$F$7="BOPA",IF(E128="Ja",0,1),"")</f>
        <v/>
      </c>
    </row>
    <row r="129" spans="2:15" x14ac:dyDescent="0.3">
      <c r="B129" s="8" t="s">
        <v>29</v>
      </c>
      <c r="C129" s="15" t="s">
        <v>94</v>
      </c>
      <c r="D129">
        <f>IF(OR(E129="Ja",E129="Nee"),1,0)</f>
        <v>0</v>
      </c>
      <c r="E129" t="str">
        <f>IF(Invulblad!$F$7="BOPA",Invulblad!F88,"")</f>
        <v/>
      </c>
      <c r="F129" t="str">
        <f>IF(Invulblad!$F$7="BOPA",IF(E129="Nee",0,1),"")</f>
        <v/>
      </c>
    </row>
    <row r="130" spans="2:15" x14ac:dyDescent="0.3">
      <c r="B130" s="8" t="str">
        <f>TEXT(0," ")</f>
        <v xml:space="preserve"> </v>
      </c>
      <c r="C130" s="14" t="s">
        <v>81</v>
      </c>
    </row>
    <row r="131" spans="2:15" x14ac:dyDescent="0.3">
      <c r="B131" s="8" t="str">
        <f>TEXT(0," ")</f>
        <v xml:space="preserve"> </v>
      </c>
      <c r="C131" s="14" t="s">
        <v>82</v>
      </c>
    </row>
    <row r="132" spans="2:15" x14ac:dyDescent="0.3">
      <c r="B132" s="8" t="str">
        <f>TEXT(0," ")</f>
        <v xml:space="preserve"> </v>
      </c>
      <c r="C132" s="14" t="s">
        <v>83</v>
      </c>
    </row>
    <row r="133" spans="2:15" x14ac:dyDescent="0.3">
      <c r="B133" s="8" t="str">
        <f>TEXT(0," ")</f>
        <v xml:space="preserve"> </v>
      </c>
      <c r="C133" s="14" t="s">
        <v>84</v>
      </c>
    </row>
    <row r="134" spans="2:15" x14ac:dyDescent="0.3">
      <c r="B134" s="8" t="str">
        <f>TEXT(0," ")</f>
        <v xml:space="preserve"> </v>
      </c>
      <c r="C134" s="14" t="s">
        <v>85</v>
      </c>
    </row>
    <row r="135" spans="2:15" x14ac:dyDescent="0.3">
      <c r="B135" s="8" t="s">
        <v>30</v>
      </c>
      <c r="C135" s="16" t="s">
        <v>95</v>
      </c>
      <c r="D135">
        <f>IF(OR(E135="Ja",E135="Nee"),1,0)</f>
        <v>0</v>
      </c>
      <c r="E135" t="str">
        <f>IF(Invulblad!$F$7="BOPA",Invulblad!F94,"")</f>
        <v/>
      </c>
      <c r="F135" t="str">
        <f>IF(Invulblad!$F$7="BOPA",IF(E135="Ja",0,1),"")</f>
        <v/>
      </c>
    </row>
    <row r="136" spans="2:15" x14ac:dyDescent="0.3">
      <c r="B136" s="8" t="str">
        <f>TEXT(0," ")</f>
        <v xml:space="preserve"> </v>
      </c>
      <c r="C136" s="17" t="s">
        <v>96</v>
      </c>
    </row>
    <row r="137" spans="2:15" x14ac:dyDescent="0.3">
      <c r="B137" s="8" t="s">
        <v>28</v>
      </c>
      <c r="C137" s="16" t="s">
        <v>97</v>
      </c>
      <c r="D137">
        <f>IF(OR(E137="Ja",E137="Nee"),1,0)</f>
        <v>0</v>
      </c>
      <c r="E137" t="str">
        <f>IF(Invulblad!$F$7="BOPA",Invulblad!F96,"")</f>
        <v/>
      </c>
      <c r="F137" t="str">
        <f>IF(Invulblad!$F$7="BOPA",IF(E137="Ja",0,1),"")</f>
        <v/>
      </c>
    </row>
    <row r="138" spans="2:15" x14ac:dyDescent="0.3">
      <c r="B138" s="8" t="s">
        <v>29</v>
      </c>
      <c r="C138" s="16" t="s">
        <v>177</v>
      </c>
      <c r="D138">
        <f>IF(OR(E138="Ja",E138="Nee"),1,0)</f>
        <v>0</v>
      </c>
      <c r="E138" t="str">
        <f>IF(Invulblad!$F$7="BOPA",Invulblad!F97,"")</f>
        <v/>
      </c>
      <c r="F138" t="str">
        <f>IF(Invulblad!$F$7="BOPA",IF(E138="Nee",0,1),"")</f>
        <v/>
      </c>
    </row>
    <row r="139" spans="2:15" x14ac:dyDescent="0.3">
      <c r="B139" s="8" t="str">
        <f>TEXT(0," ")</f>
        <v xml:space="preserve"> </v>
      </c>
      <c r="C139" s="17" t="s">
        <v>91</v>
      </c>
      <c r="D139" s="1">
        <f>SUM(D126:D138)</f>
        <v>0</v>
      </c>
      <c r="F139" s="24" t="str">
        <f>IF(Invulblad!$F$7="BOPA",SUM(F128:F138),"")</f>
        <v/>
      </c>
      <c r="G139" s="24" t="str">
        <f>IF(Invulblad!$F$7="BOPA",COUNT(F128:F138),"")</f>
        <v/>
      </c>
      <c r="H139" s="25"/>
      <c r="I139" s="26" t="str">
        <f>IF(Invulblad!$F$7="BOPA",F139/G139,"")</f>
        <v/>
      </c>
      <c r="K139" s="1">
        <v>6</v>
      </c>
      <c r="L139" s="1">
        <v>12</v>
      </c>
      <c r="M139" s="1">
        <f>L139-K139</f>
        <v>6</v>
      </c>
      <c r="O139" t="s">
        <v>163</v>
      </c>
    </row>
    <row r="140" spans="2:15" ht="15" thickBot="1" x14ac:dyDescent="0.35">
      <c r="B140" s="11" t="str">
        <f>TEXT(0," ")</f>
        <v xml:space="preserve"> </v>
      </c>
      <c r="C140" s="18" t="s">
        <v>92</v>
      </c>
    </row>
    <row r="141" spans="2:15" ht="15" thickBot="1" x14ac:dyDescent="0.35"/>
    <row r="142" spans="2:15" x14ac:dyDescent="0.3">
      <c r="B142" s="5"/>
      <c r="C142" s="19" t="s">
        <v>98</v>
      </c>
    </row>
    <row r="143" spans="2:15" x14ac:dyDescent="0.3">
      <c r="B143" s="8" t="str">
        <f>TEXT(0," ")</f>
        <v xml:space="preserve"> </v>
      </c>
      <c r="C143" s="7" t="s">
        <v>99</v>
      </c>
    </row>
    <row r="144" spans="2:15" x14ac:dyDescent="0.3">
      <c r="B144" s="8" t="s">
        <v>28</v>
      </c>
      <c r="C144" s="9" t="s">
        <v>100</v>
      </c>
      <c r="D144">
        <f>IF(OR(E144="Ja",E144="Nee"),1,0)</f>
        <v>0</v>
      </c>
      <c r="E144">
        <f>Invulblad!F103</f>
        <v>0</v>
      </c>
      <c r="F144">
        <f>IF(E144="Ja",0,1)</f>
        <v>1</v>
      </c>
    </row>
    <row r="145" spans="2:15" x14ac:dyDescent="0.3">
      <c r="B145" s="8" t="str">
        <f>TEXT(0," ")</f>
        <v xml:space="preserve"> </v>
      </c>
      <c r="C145" s="7" t="s">
        <v>101</v>
      </c>
    </row>
    <row r="146" spans="2:15" x14ac:dyDescent="0.3">
      <c r="B146" s="8" t="s">
        <v>28</v>
      </c>
      <c r="C146" s="9" t="s">
        <v>102</v>
      </c>
      <c r="D146">
        <f>IF(OR(E146="Ja",E146="Nee"),1,0)</f>
        <v>0</v>
      </c>
      <c r="E146">
        <f>Invulblad!F105</f>
        <v>0</v>
      </c>
      <c r="F146">
        <f>IF(E146="Nee",0,1)</f>
        <v>1</v>
      </c>
    </row>
    <row r="147" spans="2:15" x14ac:dyDescent="0.3">
      <c r="B147" s="13" t="s">
        <v>70</v>
      </c>
      <c r="C147" s="20" t="s">
        <v>103</v>
      </c>
      <c r="D147">
        <f>IF(OR(E147="Ja",E147="Nee"),1,0)</f>
        <v>0</v>
      </c>
      <c r="E147" t="str">
        <f>IF(Invulblad!F105="Ja",Invulblad!F106,"")</f>
        <v/>
      </c>
      <c r="F147" t="str">
        <f>IF(E146="Ja",IF(E147="Ja",0,1),"")</f>
        <v/>
      </c>
      <c r="I147" s="23"/>
    </row>
    <row r="148" spans="2:15" x14ac:dyDescent="0.3">
      <c r="B148" s="13"/>
      <c r="C148" s="20" t="s">
        <v>104</v>
      </c>
      <c r="D148">
        <f>IF(OR(E148="Ja",E148="Nee"),1,0)</f>
        <v>0</v>
      </c>
      <c r="E148" t="str">
        <f>IF(Invulblad!F105="Nee",Invulblad!F106,"")</f>
        <v/>
      </c>
      <c r="F148" t="str">
        <f>IF(E146="Nee",IF(E148="Ja",0,1),"")</f>
        <v/>
      </c>
    </row>
    <row r="149" spans="2:15" x14ac:dyDescent="0.3">
      <c r="B149" s="8" t="s">
        <v>29</v>
      </c>
      <c r="C149" s="9" t="s">
        <v>105</v>
      </c>
      <c r="D149">
        <f>IF(OR(E149="Ja",E149="Nee"),1,0)</f>
        <v>0</v>
      </c>
      <c r="E149">
        <f>Invulblad!F107</f>
        <v>0</v>
      </c>
      <c r="F149">
        <f>IF(E149="Ja",0,1)</f>
        <v>1</v>
      </c>
      <c r="J149" s="4" t="s">
        <v>12</v>
      </c>
    </row>
    <row r="150" spans="2:15" x14ac:dyDescent="0.3">
      <c r="B150" s="8" t="str">
        <f>TEXT(0," ")</f>
        <v xml:space="preserve"> </v>
      </c>
      <c r="C150" s="7" t="s">
        <v>106</v>
      </c>
      <c r="D150" s="1">
        <f>SUM(D142:D149)</f>
        <v>0</v>
      </c>
      <c r="F150" s="24">
        <f>SUM(F144:F149)</f>
        <v>3</v>
      </c>
      <c r="G150" s="24">
        <f>COUNT(F144:F149)</f>
        <v>3</v>
      </c>
      <c r="H150" s="25"/>
      <c r="I150" s="26">
        <f>F150/G150</f>
        <v>1</v>
      </c>
      <c r="J150" s="4" t="s">
        <v>13</v>
      </c>
      <c r="K150" s="1">
        <v>6</v>
      </c>
      <c r="L150" s="1">
        <v>12</v>
      </c>
      <c r="M150" s="1">
        <f>L150-K150</f>
        <v>6</v>
      </c>
      <c r="O150" t="s">
        <v>163</v>
      </c>
    </row>
    <row r="151" spans="2:15" ht="15" thickBot="1" x14ac:dyDescent="0.35">
      <c r="B151" s="11" t="str">
        <f>TEXT(0," ")</f>
        <v xml:space="preserve"> </v>
      </c>
      <c r="C151" s="10" t="s">
        <v>107</v>
      </c>
    </row>
    <row r="152" spans="2:15" ht="15" thickBot="1" x14ac:dyDescent="0.35"/>
    <row r="153" spans="2:15" x14ac:dyDescent="0.3">
      <c r="B153" s="5"/>
      <c r="C153" s="6" t="s">
        <v>108</v>
      </c>
    </row>
    <row r="154" spans="2:15" x14ac:dyDescent="0.3">
      <c r="B154" s="8" t="str">
        <f>TEXT(0," ")</f>
        <v xml:space="preserve"> </v>
      </c>
      <c r="C154" s="7" t="s">
        <v>110</v>
      </c>
    </row>
    <row r="155" spans="2:15" x14ac:dyDescent="0.3">
      <c r="B155" s="8" t="s">
        <v>28</v>
      </c>
      <c r="C155" s="9" t="s">
        <v>178</v>
      </c>
      <c r="D155">
        <f>IF(OR(E155="Ja",E155="Nee"),1,0)</f>
        <v>0</v>
      </c>
      <c r="E155">
        <f>Invulblad!F113</f>
        <v>0</v>
      </c>
      <c r="F155">
        <f>IF(E155="Ja",0,1)</f>
        <v>1</v>
      </c>
    </row>
    <row r="156" spans="2:15" x14ac:dyDescent="0.3">
      <c r="B156" s="13" t="s">
        <v>70</v>
      </c>
      <c r="C156" s="20" t="s">
        <v>109</v>
      </c>
      <c r="D156">
        <f>IF(OR(E156="Ja",E156="Nee"),1,0)</f>
        <v>0</v>
      </c>
      <c r="E156" t="str">
        <f>IF(Invulblad!F113="Nee",Invulblad!F114,"")</f>
        <v/>
      </c>
      <c r="F156" t="str">
        <f>IF(E155="Nee",IF(E156="Ja",0,1),"")</f>
        <v/>
      </c>
    </row>
    <row r="157" spans="2:15" x14ac:dyDescent="0.3">
      <c r="B157" s="8"/>
      <c r="C157" s="20" t="s">
        <v>157</v>
      </c>
      <c r="D157">
        <f>IF(OR(E157="Ja",E157="Nee"),1,0)</f>
        <v>0</v>
      </c>
      <c r="E157" t="str">
        <f>IF(Invulblad!F113="Ja",Invulblad!F114,"")</f>
        <v/>
      </c>
      <c r="F157" t="str">
        <f>IF(E155="Ja",IF(E157="Ja",0,1),"")</f>
        <v/>
      </c>
    </row>
    <row r="158" spans="2:15" x14ac:dyDescent="0.3">
      <c r="B158" s="8" t="str">
        <f>TEXT(0," ")</f>
        <v xml:space="preserve"> </v>
      </c>
      <c r="C158" s="7" t="s">
        <v>111</v>
      </c>
    </row>
    <row r="159" spans="2:15" x14ac:dyDescent="0.3">
      <c r="B159" s="8" t="s">
        <v>28</v>
      </c>
      <c r="C159" s="9" t="s">
        <v>112</v>
      </c>
      <c r="D159">
        <f>IF(OR(E159="Ja",E159="Nee"),1,0)</f>
        <v>0</v>
      </c>
      <c r="E159">
        <f>Invulblad!F116</f>
        <v>0</v>
      </c>
      <c r="F159">
        <f>IF(E159="Ja",0,1)</f>
        <v>1</v>
      </c>
    </row>
    <row r="160" spans="2:15" x14ac:dyDescent="0.3">
      <c r="B160" s="13" t="s">
        <v>70</v>
      </c>
      <c r="C160" s="20" t="s">
        <v>113</v>
      </c>
      <c r="D160">
        <f>IF(OR(E160="Ja",E160="Nee"),1,0)</f>
        <v>0</v>
      </c>
      <c r="E160" t="str">
        <f>IF(Invulblad!F116="Ja",Invulblad!F117,"")</f>
        <v/>
      </c>
      <c r="F160" t="str">
        <f>IF(E159="Ja",IF(E160="Ja",0,1),"")</f>
        <v/>
      </c>
    </row>
    <row r="161" spans="2:15" x14ac:dyDescent="0.3">
      <c r="B161" s="8" t="str">
        <f>TEXT(0," ")</f>
        <v xml:space="preserve"> </v>
      </c>
      <c r="C161" s="7" t="s">
        <v>114</v>
      </c>
      <c r="D161">
        <f>(IF(E159="Ja",0,1))</f>
        <v>1</v>
      </c>
      <c r="E161" s="3" t="s">
        <v>142</v>
      </c>
      <c r="F161" s="24">
        <f>SUM(F155:F160)</f>
        <v>2</v>
      </c>
      <c r="G161" s="24">
        <f>COUNT(F155:F160)</f>
        <v>2</v>
      </c>
      <c r="H161" s="25"/>
      <c r="I161" s="26">
        <f>F161/G161</f>
        <v>1</v>
      </c>
      <c r="K161" s="1">
        <v>6</v>
      </c>
      <c r="L161" s="1">
        <v>9</v>
      </c>
      <c r="M161" s="1">
        <f>L161-K161</f>
        <v>3</v>
      </c>
      <c r="O161" t="s">
        <v>165</v>
      </c>
    </row>
    <row r="162" spans="2:15" ht="15" thickBot="1" x14ac:dyDescent="0.35">
      <c r="B162" s="11" t="str">
        <f>TEXT(0," ")</f>
        <v xml:space="preserve"> </v>
      </c>
      <c r="C162" s="10" t="s">
        <v>115</v>
      </c>
      <c r="D162" s="1">
        <f>SUM(D153:D161)</f>
        <v>1</v>
      </c>
    </row>
    <row r="163" spans="2:15" ht="15" thickBot="1" x14ac:dyDescent="0.35"/>
    <row r="164" spans="2:15" x14ac:dyDescent="0.3">
      <c r="B164" s="5"/>
      <c r="C164" s="6" t="s">
        <v>116</v>
      </c>
    </row>
    <row r="165" spans="2:15" x14ac:dyDescent="0.3">
      <c r="B165" s="8" t="str">
        <f>TEXT(0," ")</f>
        <v xml:space="preserve"> </v>
      </c>
      <c r="C165" s="7" t="s">
        <v>117</v>
      </c>
    </row>
    <row r="166" spans="2:15" x14ac:dyDescent="0.3">
      <c r="B166" s="8" t="s">
        <v>28</v>
      </c>
      <c r="C166" s="9" t="s">
        <v>118</v>
      </c>
      <c r="D166">
        <f>IF(OR(E166="Ja",E166="Nee"),1,0)</f>
        <v>0</v>
      </c>
      <c r="E166">
        <f>Invulblad!F123</f>
        <v>0</v>
      </c>
      <c r="F166">
        <f>IF(E166="Ja",0,1)</f>
        <v>1</v>
      </c>
    </row>
    <row r="167" spans="2:15" x14ac:dyDescent="0.3">
      <c r="B167" s="13" t="s">
        <v>70</v>
      </c>
      <c r="C167" s="20" t="s">
        <v>156</v>
      </c>
      <c r="D167">
        <f>IF(OR(E167="Ja",E167="Nee"),1,0)</f>
        <v>0</v>
      </c>
      <c r="E167" t="str">
        <f>IF(Invulblad!F123="Ja",Invulblad!F124,"")</f>
        <v/>
      </c>
      <c r="F167" t="str">
        <f>IF(E166="Ja",IF(E167="Ja",0,1),"")</f>
        <v/>
      </c>
    </row>
    <row r="168" spans="2:15" x14ac:dyDescent="0.3">
      <c r="B168" s="8" t="s">
        <v>29</v>
      </c>
      <c r="C168" s="9" t="s">
        <v>119</v>
      </c>
      <c r="D168">
        <f t="shared" ref="D168:D174" si="10">IF(OR(E168="Ja",E168="Nee"),1,0)</f>
        <v>0</v>
      </c>
      <c r="E168">
        <f>Invulblad!F125</f>
        <v>0</v>
      </c>
      <c r="F168">
        <f>IF(E168="Nee",0,1)</f>
        <v>1</v>
      </c>
    </row>
    <row r="169" spans="2:15" x14ac:dyDescent="0.3">
      <c r="B169" s="8" t="str">
        <f>TEXT(0," ")</f>
        <v xml:space="preserve"> </v>
      </c>
      <c r="C169" s="7" t="s">
        <v>120</v>
      </c>
    </row>
    <row r="170" spans="2:15" x14ac:dyDescent="0.3">
      <c r="B170" s="8" t="s">
        <v>28</v>
      </c>
      <c r="C170" s="9" t="s">
        <v>121</v>
      </c>
      <c r="D170">
        <f t="shared" si="10"/>
        <v>0</v>
      </c>
      <c r="E170">
        <f>Invulblad!F127</f>
        <v>0</v>
      </c>
      <c r="F170">
        <f>IF(E170="Ja",0,1)</f>
        <v>1</v>
      </c>
    </row>
    <row r="171" spans="2:15" x14ac:dyDescent="0.3">
      <c r="B171" s="8" t="s">
        <v>29</v>
      </c>
      <c r="C171" s="9" t="s">
        <v>122</v>
      </c>
      <c r="D171">
        <f t="shared" si="10"/>
        <v>0</v>
      </c>
      <c r="E171">
        <f>Invulblad!F128</f>
        <v>0</v>
      </c>
      <c r="F171">
        <f>IF(E171="Ja",0,1)</f>
        <v>1</v>
      </c>
    </row>
    <row r="172" spans="2:15" x14ac:dyDescent="0.3">
      <c r="B172" s="8" t="str">
        <f>TEXT(0," ")</f>
        <v xml:space="preserve"> </v>
      </c>
      <c r="C172" s="7" t="s">
        <v>123</v>
      </c>
    </row>
    <row r="173" spans="2:15" x14ac:dyDescent="0.3">
      <c r="B173" s="8" t="s">
        <v>28</v>
      </c>
      <c r="C173" s="9" t="s">
        <v>124</v>
      </c>
      <c r="D173">
        <f t="shared" si="10"/>
        <v>0</v>
      </c>
      <c r="E173">
        <f>Invulblad!F130</f>
        <v>0</v>
      </c>
      <c r="F173">
        <f>IF(E173="Nee",0,1)</f>
        <v>1</v>
      </c>
    </row>
    <row r="174" spans="2:15" x14ac:dyDescent="0.3">
      <c r="B174" s="8" t="s">
        <v>29</v>
      </c>
      <c r="C174" s="9" t="s">
        <v>125</v>
      </c>
      <c r="D174">
        <f t="shared" si="10"/>
        <v>0</v>
      </c>
      <c r="E174">
        <f>Invulblad!F131</f>
        <v>0</v>
      </c>
      <c r="F174">
        <f>IF(E174="Nee",0,1)</f>
        <v>1</v>
      </c>
    </row>
    <row r="175" spans="2:15" x14ac:dyDescent="0.3">
      <c r="B175" s="8" t="str">
        <f>TEXT(0," ")</f>
        <v xml:space="preserve"> </v>
      </c>
      <c r="C175" s="7" t="s">
        <v>126</v>
      </c>
      <c r="D175">
        <f>(IF(E166="Ja",0,1))</f>
        <v>1</v>
      </c>
      <c r="E175" s="3" t="s">
        <v>142</v>
      </c>
      <c r="F175" s="24">
        <f>SUM(F166:F174)</f>
        <v>6</v>
      </c>
      <c r="G175" s="24">
        <f>COUNT(F166:F174)</f>
        <v>6</v>
      </c>
      <c r="H175" s="25"/>
      <c r="I175" s="26">
        <f>F175/G175</f>
        <v>1</v>
      </c>
    </row>
    <row r="176" spans="2:15" ht="15" thickBot="1" x14ac:dyDescent="0.35">
      <c r="B176" s="11" t="str">
        <f>TEXT(0," ")</f>
        <v xml:space="preserve"> </v>
      </c>
      <c r="C176" s="10" t="s">
        <v>127</v>
      </c>
      <c r="D176" s="1">
        <f>SUM(D164:D175)</f>
        <v>1</v>
      </c>
    </row>
    <row r="177" spans="3:7" x14ac:dyDescent="0.3">
      <c r="E177" t="s">
        <v>171</v>
      </c>
      <c r="F177" t="s">
        <v>172</v>
      </c>
    </row>
    <row r="178" spans="3:7" x14ac:dyDescent="0.3">
      <c r="C178" t="str">
        <f>Invulblad!D15</f>
        <v>Stap 1 - Beleidsmatig</v>
      </c>
      <c r="D178" t="str">
        <f>Invulblad!J24</f>
        <v/>
      </c>
      <c r="E178" s="95" t="str">
        <f>IF(OR(Invulblad!$F$6="",Invulblad!$F$7="",Invulblad!$F$8=""),"",Invulblad!I7)</f>
        <v/>
      </c>
      <c r="F178" s="95" t="str">
        <f>IF(OR(Invulblad!$F$6="",Invulblad!$F$7="",Invulblad!$F$8=""),"",EDATE(Invulblad!I7,D178)-1)</f>
        <v/>
      </c>
    </row>
    <row r="179" spans="3:7" x14ac:dyDescent="0.3">
      <c r="C179" t="str">
        <f>Invulblad!D26</f>
        <v>Stap 2 - Kaders</v>
      </c>
      <c r="D179" t="str">
        <f>Invulblad!J46</f>
        <v/>
      </c>
      <c r="E179" s="95" t="str">
        <f>IF(OR(Invulblad!$F$6="",Invulblad!$F$7="",Invulblad!$F$8=""),"",F178+1)</f>
        <v/>
      </c>
      <c r="F179" s="95" t="str">
        <f>IF(OR(Invulblad!$F$6="",Invulblad!$F$7="",Invulblad!$F$8=""),"",EDATE(E179,D179)-1)</f>
        <v/>
      </c>
      <c r="G179" s="27"/>
    </row>
    <row r="180" spans="3:7" x14ac:dyDescent="0.3">
      <c r="C180" t="str">
        <f>Invulblad!D48</f>
        <v>Stap 3 - Rekenen en tekenen</v>
      </c>
      <c r="D180" t="str">
        <f>Invulblad!J63</f>
        <v/>
      </c>
      <c r="E180" s="95" t="str">
        <f>IF(OR(Invulblad!$F$6="",Invulblad!$F$7="",Invulblad!$F$8=""),"",F179+1)</f>
        <v/>
      </c>
      <c r="F180" s="95" t="str">
        <f>IF(OR(Invulblad!$F$6="",Invulblad!$F$7="",Invulblad!$F$8=""),"",EDATE(E180,D180)-1)</f>
        <v/>
      </c>
      <c r="G180" s="27"/>
    </row>
    <row r="181" spans="3:7" x14ac:dyDescent="0.3">
      <c r="C181" t="str">
        <f>Invulblad!D65</f>
        <v>Stap 4 - Businesscase</v>
      </c>
      <c r="D181" t="str">
        <f>Invulblad!J75</f>
        <v/>
      </c>
      <c r="E181" s="95" t="str">
        <f>IF(OR(Invulblad!$F$6="",Invulblad!$F$7="",Invulblad!$F$8=""),"",F180+1)</f>
        <v/>
      </c>
      <c r="F181" s="95" t="str">
        <f>IF(OR(Invulblad!$F$6="",Invulblad!$F$7="",Invulblad!$F$8=""),"",EDATE(E181,D181)-1)</f>
        <v/>
      </c>
      <c r="G181" s="27"/>
    </row>
    <row r="182" spans="3:7" x14ac:dyDescent="0.3">
      <c r="C182" t="str">
        <f>Invulblad!D77</f>
        <v>Stap 5 - Contractueel</v>
      </c>
      <c r="D182" t="str">
        <f>Invulblad!J83</f>
        <v/>
      </c>
      <c r="E182" s="95" t="str">
        <f>IF(OR(Invulblad!$F$6="",Invulblad!$F$7="",Invulblad!$F$8=""),"",F181+1)</f>
        <v/>
      </c>
      <c r="F182" s="95" t="str">
        <f>IF(OR(Invulblad!$F$6="",Invulblad!$F$7="",Invulblad!$F$8=""),"",EDATE(E182,D182)-1)</f>
        <v/>
      </c>
      <c r="G182" s="27"/>
    </row>
    <row r="183" spans="3:7" x14ac:dyDescent="0.3">
      <c r="C183" t="str">
        <f>Invulblad!D85</f>
        <v>Stap 6 - Ruimtelijke procedure</v>
      </c>
      <c r="D183" t="str">
        <f>Invulblad!J99</f>
        <v/>
      </c>
      <c r="E183" s="95" t="str">
        <f>IF(OR(Invulblad!$F$6="",Invulblad!$F$7="",Invulblad!$F$8=""),"",F182+1)</f>
        <v/>
      </c>
      <c r="F183" s="95" t="str">
        <f>IF(OR(Invulblad!$F$6="",Invulblad!$F$7="",Invulblad!$F$8=""),"",EDATE(E183,D183)-1)</f>
        <v/>
      </c>
      <c r="G183" s="27"/>
    </row>
    <row r="184" spans="3:7" x14ac:dyDescent="0.3">
      <c r="C184" t="str">
        <f>Invulblad!D101</f>
        <v>Stap 7 - Bouwende partij</v>
      </c>
      <c r="D184" t="str">
        <f>Invulblad!J109</f>
        <v/>
      </c>
      <c r="E184" s="95" t="str">
        <f>IF(OR(Invulblad!$F$6="",Invulblad!$F$7="",Invulblad!$F$8=""),"",IF(Invulblad!F8="Gelijktijdig",Data!E183,(F183+1)))</f>
        <v/>
      </c>
      <c r="F184" s="95" t="str">
        <f>IF(OR(Invulblad!$F$6="",Invulblad!$F$7="",Invulblad!$F$8=""),"",IF(Invulblad!$F$8="Gelijktijdig",F183,(EDATE(E184,D184)-1)))</f>
        <v/>
      </c>
      <c r="G184" s="27"/>
    </row>
    <row r="185" spans="3:7" x14ac:dyDescent="0.3">
      <c r="C185" t="str">
        <f>Invulblad!D111</f>
        <v>Stap 8 - Omgevingsvergunning</v>
      </c>
      <c r="D185" t="str">
        <f>Invulblad!J119</f>
        <v/>
      </c>
      <c r="E185" s="95" t="str">
        <f>IF(OR(Invulblad!$F$6="",Invulblad!$F$7="",Invulblad!$F$8=""),"",F184+1)</f>
        <v/>
      </c>
      <c r="F185" s="95" t="str">
        <f>IF(OR(Invulblad!$F$6="",Invulblad!$F$7="",Invulblad!$F$8=""),"",EDATE(E185,D185)-1)</f>
        <v/>
      </c>
      <c r="G185" s="27"/>
    </row>
    <row r="186" spans="3:7" x14ac:dyDescent="0.3">
      <c r="C186" t="str">
        <f>Invulblad!D121</f>
        <v>Stap 9 - Realisatie/planning</v>
      </c>
      <c r="D186" t="str">
        <f>Invulblad!J133</f>
        <v/>
      </c>
      <c r="E186" s="95" t="str">
        <f>IF(OR(Invulblad!$F$6="",Invulblad!$F$7="",Invulblad!$F$8=""),"",F185+1)</f>
        <v/>
      </c>
      <c r="F186" s="95" t="str">
        <f>IF(OR(Invulblad!$F$6="",Invulblad!$F$7="",Invulblad!$F$8=""),"",EDATE(E186,D186)-1)</f>
        <v/>
      </c>
      <c r="G186" s="27"/>
    </row>
    <row r="187" spans="3:7" x14ac:dyDescent="0.3">
      <c r="C187" t="s">
        <v>136</v>
      </c>
      <c r="E187" s="95" t="str">
        <f>F186</f>
        <v/>
      </c>
      <c r="F187" s="96"/>
      <c r="G187" s="27"/>
    </row>
  </sheetData>
  <sheetProtection algorithmName="SHA-512" hashValue="X3pAPJYtlmAdGQeiCftIi8+iCDs9IDFD4Qm94RjTQL7eO12iheqCBPGSiAYEVmMq29guYcToM3Pe8+7SbrCwwQ==" saltValue="KKum9+1o65/0F+V453TwLQ=="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21FA-2C4E-49BB-9F6E-717760FD4985}">
  <sheetPr>
    <tabColor theme="5"/>
    <pageSetUpPr autoPageBreaks="0" fitToPage="1"/>
  </sheetPr>
  <dimension ref="B1:N31"/>
  <sheetViews>
    <sheetView showGridLines="0" showRowColHeaders="0" zoomScaleNormal="100" workbookViewId="0">
      <selection activeCell="F98" sqref="F98"/>
    </sheetView>
  </sheetViews>
  <sheetFormatPr defaultColWidth="8.88671875" defaultRowHeight="19.5" customHeight="1" x14ac:dyDescent="0.3"/>
  <cols>
    <col min="1" max="1" width="3.6640625" style="38" customWidth="1"/>
    <col min="2" max="2" width="15.5546875" style="38" customWidth="1"/>
    <col min="3" max="3" width="35.6640625" style="38" customWidth="1"/>
    <col min="4" max="4" width="13.33203125" style="38" customWidth="1"/>
    <col min="5" max="5" width="12.33203125" style="38" hidden="1" customWidth="1"/>
    <col min="6" max="6" width="12.5546875" style="38" customWidth="1"/>
    <col min="7" max="7" width="11.33203125" style="38" customWidth="1"/>
    <col min="8" max="11" width="8.88671875" style="38"/>
    <col min="12" max="12" width="10.6640625" style="38" customWidth="1"/>
    <col min="13" max="13" width="10.33203125" style="38" customWidth="1"/>
    <col min="14" max="14" width="9.109375" style="38" customWidth="1"/>
    <col min="15" max="16384" width="8.88671875" style="38"/>
  </cols>
  <sheetData>
    <row r="1" spans="2:14" ht="19.5" customHeight="1" x14ac:dyDescent="0.3">
      <c r="B1" s="99" t="s">
        <v>185</v>
      </c>
    </row>
    <row r="2" spans="2:14" ht="15" customHeight="1" x14ac:dyDescent="0.2">
      <c r="B2" s="39"/>
    </row>
    <row r="3" spans="2:14" ht="28.5" customHeight="1" x14ac:dyDescent="0.3">
      <c r="B3" s="43" t="s">
        <v>174</v>
      </c>
      <c r="C3" s="98"/>
    </row>
    <row r="8" spans="2:14" ht="19.5" customHeight="1" x14ac:dyDescent="0.3">
      <c r="F8" s="40"/>
    </row>
    <row r="9" spans="2:14" ht="19.5" customHeight="1" x14ac:dyDescent="0.3">
      <c r="F9" s="40"/>
    </row>
    <row r="10" spans="2:14" ht="19.5" customHeight="1" x14ac:dyDescent="0.3">
      <c r="F10" s="40"/>
    </row>
    <row r="11" spans="2:14" ht="19.5" customHeight="1" x14ac:dyDescent="0.3">
      <c r="F11" s="40"/>
    </row>
    <row r="12" spans="2:14" ht="19.5" customHeight="1" x14ac:dyDescent="0.3">
      <c r="F12" s="40"/>
    </row>
    <row r="13" spans="2:14" ht="19.5" customHeight="1" x14ac:dyDescent="0.3">
      <c r="F13" s="40"/>
    </row>
    <row r="14" spans="2:14" ht="19.5" customHeight="1" x14ac:dyDescent="0.2">
      <c r="F14" s="40"/>
      <c r="I14" s="41"/>
      <c r="K14" s="41"/>
      <c r="M14" s="41"/>
      <c r="N14" s="42"/>
    </row>
    <row r="15" spans="2:14" ht="19.5" customHeight="1" x14ac:dyDescent="0.2">
      <c r="F15" s="40"/>
      <c r="I15" s="41"/>
      <c r="K15" s="41"/>
      <c r="M15" s="41"/>
      <c r="N15" s="42"/>
    </row>
    <row r="16" spans="2:14" ht="19.5" customHeight="1" x14ac:dyDescent="0.2">
      <c r="F16" s="40"/>
      <c r="I16" s="41"/>
      <c r="K16" s="41"/>
      <c r="M16" s="41"/>
      <c r="N16" s="42"/>
    </row>
    <row r="17" spans="2:14" ht="19.5" customHeight="1" x14ac:dyDescent="0.2">
      <c r="F17" s="40"/>
      <c r="I17" s="41"/>
      <c r="K17" s="41"/>
      <c r="M17" s="41"/>
      <c r="N17" s="42"/>
    </row>
    <row r="18" spans="2:14" ht="19.5" customHeight="1" x14ac:dyDescent="0.2">
      <c r="I18" s="41"/>
      <c r="K18" s="41"/>
      <c r="M18" s="41"/>
      <c r="N18" s="42"/>
    </row>
    <row r="19" spans="2:14" ht="24" hidden="1" customHeight="1" thickTop="1" x14ac:dyDescent="0.2">
      <c r="B19" s="88" t="s">
        <v>170</v>
      </c>
      <c r="C19" s="89"/>
      <c r="D19" s="90"/>
      <c r="I19" s="41"/>
      <c r="K19" s="41"/>
      <c r="M19" s="41"/>
      <c r="N19" s="42"/>
    </row>
    <row r="20" spans="2:14" ht="24" hidden="1" customHeight="1" x14ac:dyDescent="0.2">
      <c r="B20" s="91" t="s">
        <v>169</v>
      </c>
      <c r="C20" s="91" t="s">
        <v>168</v>
      </c>
      <c r="D20" s="92" t="s">
        <v>167</v>
      </c>
      <c r="E20" s="38" t="s">
        <v>166</v>
      </c>
      <c r="I20" s="41"/>
      <c r="K20" s="41"/>
      <c r="L20" s="40"/>
      <c r="M20" s="41"/>
      <c r="N20" s="42"/>
    </row>
    <row r="21" spans="2:14" ht="19.5" hidden="1" customHeight="1" x14ac:dyDescent="0.2">
      <c r="B21" s="93" t="str">
        <f>Data!$E178</f>
        <v/>
      </c>
      <c r="C21" s="91" t="str">
        <f>Data!C178</f>
        <v>Stap 1 - Beleidsmatig</v>
      </c>
      <c r="D21" s="92">
        <v>20</v>
      </c>
      <c r="E21" s="38">
        <f>1</f>
        <v>1</v>
      </c>
      <c r="I21" s="41"/>
      <c r="K21" s="41"/>
      <c r="M21" s="41"/>
      <c r="N21" s="42"/>
    </row>
    <row r="22" spans="2:14" ht="19.5" hidden="1" customHeight="1" x14ac:dyDescent="0.2">
      <c r="B22" s="93" t="str">
        <f>Data!$E179</f>
        <v/>
      </c>
      <c r="C22" s="91" t="str">
        <f>Data!C179</f>
        <v>Stap 2 - Kaders</v>
      </c>
      <c r="D22" s="92">
        <v>-10</v>
      </c>
      <c r="E22" s="38">
        <f>1</f>
        <v>1</v>
      </c>
      <c r="I22" s="41"/>
      <c r="K22" s="41"/>
      <c r="L22" s="40"/>
      <c r="M22" s="41"/>
      <c r="N22" s="42"/>
    </row>
    <row r="23" spans="2:14" ht="19.5" hidden="1" customHeight="1" x14ac:dyDescent="0.2">
      <c r="B23" s="93" t="str">
        <f>Data!$E180</f>
        <v/>
      </c>
      <c r="C23" s="91" t="str">
        <f>Data!C180</f>
        <v>Stap 3 - Rekenen en tekenen</v>
      </c>
      <c r="D23" s="92">
        <v>10</v>
      </c>
      <c r="E23" s="38">
        <f>1</f>
        <v>1</v>
      </c>
      <c r="I23" s="41"/>
      <c r="K23" s="41"/>
      <c r="M23" s="41"/>
      <c r="N23" s="42"/>
    </row>
    <row r="24" spans="2:14" ht="19.5" hidden="1" customHeight="1" x14ac:dyDescent="0.2">
      <c r="B24" s="93" t="str">
        <f>Data!$E181</f>
        <v/>
      </c>
      <c r="C24" s="91" t="str">
        <f>Data!C181</f>
        <v>Stap 4 - Businesscase</v>
      </c>
      <c r="D24" s="92">
        <v>-20</v>
      </c>
      <c r="E24" s="38">
        <f>1</f>
        <v>1</v>
      </c>
      <c r="I24" s="41"/>
      <c r="K24" s="41"/>
      <c r="M24" s="41"/>
      <c r="N24" s="42"/>
    </row>
    <row r="25" spans="2:14" ht="19.5" hidden="1" customHeight="1" x14ac:dyDescent="0.2">
      <c r="B25" s="93" t="str">
        <f>Data!$E182</f>
        <v/>
      </c>
      <c r="C25" s="91" t="str">
        <f>Data!C182</f>
        <v>Stap 5 - Contractueel</v>
      </c>
      <c r="D25" s="92">
        <v>20</v>
      </c>
      <c r="E25" s="38">
        <f>1</f>
        <v>1</v>
      </c>
      <c r="I25" s="41"/>
      <c r="K25" s="41"/>
      <c r="M25" s="41"/>
      <c r="N25" s="42"/>
    </row>
    <row r="26" spans="2:14" ht="19.5" hidden="1" customHeight="1" x14ac:dyDescent="0.2">
      <c r="B26" s="93" t="str">
        <f>Data!$E183</f>
        <v/>
      </c>
      <c r="C26" s="91" t="str">
        <f>Data!C183</f>
        <v>Stap 6 - Ruimtelijke procedure</v>
      </c>
      <c r="D26" s="92">
        <v>-10</v>
      </c>
      <c r="E26" s="38">
        <f>1</f>
        <v>1</v>
      </c>
      <c r="I26" s="41"/>
      <c r="K26" s="41"/>
      <c r="M26" s="41"/>
      <c r="N26" s="42"/>
    </row>
    <row r="27" spans="2:14" ht="19.5" hidden="1" customHeight="1" x14ac:dyDescent="0.2">
      <c r="B27" s="93" t="str">
        <f>Data!$E184</f>
        <v/>
      </c>
      <c r="C27" s="91" t="str">
        <f>Data!C184</f>
        <v>Stap 7 - Bouwende partij</v>
      </c>
      <c r="D27" s="92">
        <v>10</v>
      </c>
      <c r="E27" s="38">
        <f>1</f>
        <v>1</v>
      </c>
      <c r="I27" s="41"/>
      <c r="K27" s="41"/>
      <c r="M27" s="41"/>
      <c r="N27" s="42"/>
    </row>
    <row r="28" spans="2:14" ht="19.5" hidden="1" customHeight="1" x14ac:dyDescent="0.3">
      <c r="B28" s="93" t="str">
        <f>Data!$E185</f>
        <v/>
      </c>
      <c r="C28" s="91" t="str">
        <f>Data!C185</f>
        <v>Stap 8 - Omgevingsvergunning</v>
      </c>
      <c r="D28" s="92">
        <v>-20</v>
      </c>
      <c r="E28" s="38">
        <f>1</f>
        <v>1</v>
      </c>
    </row>
    <row r="29" spans="2:14" ht="19.5" hidden="1" customHeight="1" x14ac:dyDescent="0.3">
      <c r="B29" s="93" t="str">
        <f>Data!$E186</f>
        <v/>
      </c>
      <c r="C29" s="91" t="str">
        <f>Data!C186</f>
        <v>Stap 9 - Realisatie/planning</v>
      </c>
      <c r="D29" s="92">
        <v>20</v>
      </c>
      <c r="E29" s="38">
        <f>1</f>
        <v>1</v>
      </c>
    </row>
    <row r="30" spans="2:14" ht="19.5" hidden="1" customHeight="1" x14ac:dyDescent="0.3">
      <c r="B30" s="94" t="str">
        <f>Data!$E187</f>
        <v/>
      </c>
      <c r="C30" s="91" t="str">
        <f>Data!C187</f>
        <v>Potentiële einddatum</v>
      </c>
      <c r="D30" s="92">
        <v>-10</v>
      </c>
      <c r="E30" s="38">
        <f>1</f>
        <v>1</v>
      </c>
    </row>
    <row r="31" spans="2:14" ht="19.5" hidden="1" customHeight="1" x14ac:dyDescent="0.3"/>
  </sheetData>
  <sheetProtection algorithmName="SHA-512" hashValue="AB0FaT692WbLBXpqZiasbjCwTV9t5GyWlCSJornYLM/uPwo1WCl9yvmyfaaeQqez5Fo/xfYy7SIybkzGRCctfg==" saltValue="suNP9Yk++v8GNQ6fQOdi6Q==" spinCount="100000" sheet="1" objects="1" scenarios="1"/>
  <pageMargins left="0.70866141732283472" right="0.70866141732283472" top="0.74803149606299213" bottom="0.74803149606299213" header="0.31496062992125984" footer="0.31496062992125984"/>
  <pageSetup paperSize="9" scale="83" fitToHeight="0" orientation="landscape" r:id="rId1"/>
  <headerFooter>
    <oddFooter>&amp;LProces- en planningsschema woningbouwprojecten&amp;CVersie: April 2024&amp;R&amp;P van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0A205-9A2C-420C-B77E-810348082601}">
  <sheetPr>
    <tabColor theme="2"/>
  </sheetPr>
  <dimension ref="B2:B10"/>
  <sheetViews>
    <sheetView showGridLines="0" showRowColHeaders="0" zoomScaleNormal="100" zoomScaleSheetLayoutView="91" workbookViewId="0">
      <selection activeCell="B10" sqref="B10"/>
    </sheetView>
  </sheetViews>
  <sheetFormatPr defaultColWidth="8.88671875" defaultRowHeight="12.6" x14ac:dyDescent="0.2"/>
  <cols>
    <col min="1" max="1" width="3.6640625" style="36" customWidth="1"/>
    <col min="2" max="2" width="101.88671875" style="36" customWidth="1"/>
    <col min="3" max="16384" width="8.88671875" style="36"/>
  </cols>
  <sheetData>
    <row r="2" spans="2:2" ht="13.8" x14ac:dyDescent="0.25">
      <c r="B2" s="87" t="s">
        <v>175</v>
      </c>
    </row>
    <row r="4" spans="2:2" ht="96.6" x14ac:dyDescent="0.25">
      <c r="B4" s="100" t="s">
        <v>186</v>
      </c>
    </row>
    <row r="5" spans="2:2" ht="3" customHeight="1" x14ac:dyDescent="0.25">
      <c r="B5" s="100"/>
    </row>
    <row r="6" spans="2:2" ht="96.6" x14ac:dyDescent="0.25">
      <c r="B6" s="100" t="s">
        <v>187</v>
      </c>
    </row>
    <row r="7" spans="2:2" ht="12.75" customHeight="1" x14ac:dyDescent="0.25">
      <c r="B7" s="100"/>
    </row>
    <row r="8" spans="2:2" ht="124.2" x14ac:dyDescent="0.25">
      <c r="B8" s="100" t="s">
        <v>188</v>
      </c>
    </row>
    <row r="9" spans="2:2" ht="14.25" customHeight="1" x14ac:dyDescent="0.25">
      <c r="B9" s="100"/>
    </row>
    <row r="10" spans="2:2" ht="41.4" x14ac:dyDescent="0.25">
      <c r="B10" s="100" t="s">
        <v>189</v>
      </c>
    </row>
  </sheetData>
  <sheetProtection algorithmName="SHA-512" hashValue="X4Gbj0MBITrYB9HA651DJg9LX7Qv68REs6ssN1pwt+L7mjsWJJAAE02kRVwHakmoyn61G8Tscsylk6vsTZRCPw==" saltValue="6gCzWghyzkO3n6wQy4Ph8g==" spinCount="100000" sheet="1" objects="1" scenarios="1"/>
  <pageMargins left="0.70866141732283472" right="0.70866141732283472" top="0.74803149606299213" bottom="0.74803149606299213" header="0.31496062992125984" footer="0.31496062992125984"/>
  <pageSetup paperSize="9" scale="79" orientation="portrait" verticalDpi="1200" r:id="rId1"/>
  <headerFooter>
    <oddFooter>&amp;LProces- en planningsschema woningbouwprojecten&amp;CVersie: april 2024 &amp;R&amp;P van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D8C1C236C4DB44BFCCF54F993149A4" ma:contentTypeVersion="11" ma:contentTypeDescription="Create a new document." ma:contentTypeScope="" ma:versionID="c2c3e839887a8696b19f61f61ed1f46b">
  <xsd:schema xmlns:xsd="http://www.w3.org/2001/XMLSchema" xmlns:xs="http://www.w3.org/2001/XMLSchema" xmlns:p="http://schemas.microsoft.com/office/2006/metadata/properties" xmlns:ns3="7c1ea7e3-670d-4534-80d1-26443529efc7" xmlns:ns4="f549c207-bee8-4f06-b4f5-a25f5134b3ae" targetNamespace="http://schemas.microsoft.com/office/2006/metadata/properties" ma:root="true" ma:fieldsID="ac058993d5c31bb6c2a976064dc95094" ns3:_="" ns4:_="">
    <xsd:import namespace="7c1ea7e3-670d-4534-80d1-26443529efc7"/>
    <xsd:import namespace="f549c207-bee8-4f06-b4f5-a25f5134b3ae"/>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1ea7e3-670d-4534-80d1-26443529ef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49c207-bee8-4f06-b4f5-a25f5134b3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c1ea7e3-670d-4534-80d1-26443529efc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2885FC-0366-4B95-801E-26CFAFC9F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1ea7e3-670d-4534-80d1-26443529efc7"/>
    <ds:schemaRef ds:uri="f549c207-bee8-4f06-b4f5-a25f5134b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5383A-F9E3-41C7-A753-750E977C4DF0}">
  <ds:schemaRefs>
    <ds:schemaRef ds:uri="http://schemas.microsoft.com/office/2006/documentManagement/types"/>
    <ds:schemaRef ds:uri="7c1ea7e3-670d-4534-80d1-26443529efc7"/>
    <ds:schemaRef ds:uri="http://purl.org/dc/elements/1.1/"/>
    <ds:schemaRef ds:uri="http://schemas.microsoft.com/office/2006/metadata/properties"/>
    <ds:schemaRef ds:uri="f549c207-bee8-4f06-b4f5-a25f5134b3ae"/>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603AACA-1446-4A06-8C6D-692AC70FD11A}">
  <ds:schemaRefs>
    <ds:schemaRef ds:uri="http://schemas.microsoft.com/sharepoint/v3/contenttype/forms"/>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Invulblad</vt:lpstr>
      <vt:lpstr>Data</vt:lpstr>
      <vt:lpstr>Projecttijdlijn</vt:lpstr>
      <vt:lpstr>Toelichting</vt:lpstr>
      <vt:lpstr>Invulblad!Afdrukbereik</vt:lpstr>
      <vt:lpstr>Projecttijdlijn!Afdrukbereik</vt:lpstr>
      <vt:lpstr>Toelichting!Afdrukbereik</vt:lpstr>
      <vt:lpstr>Projectbegin</vt:lpstr>
      <vt:lpstr>Projecteinde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 en planningsschema woningbouwprojecten</dc:title>
  <dc:creator>Rijksdienst voor Ondernemend Nederland</dc:creator>
  <cp:lastModifiedBy>RVO</cp:lastModifiedBy>
  <cp:lastPrinted>2024-04-15T15:23:50Z</cp:lastPrinted>
  <dcterms:created xsi:type="dcterms:W3CDTF">2024-02-06T07:15:10Z</dcterms:created>
  <dcterms:modified xsi:type="dcterms:W3CDTF">2024-04-29T13:41:26Z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0x0101007CD8C1C236C4DB44BFCCF54F993149A4</vt:lpwstr>
  </property>
</Properties>
</file>